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hidePivotFieldList="1" defaultThemeVersion="166925"/>
  <mc:AlternateContent xmlns:mc="http://schemas.openxmlformats.org/markup-compatibility/2006">
    <mc:Choice Requires="x15">
      <x15ac:absPath xmlns:x15ac="http://schemas.microsoft.com/office/spreadsheetml/2010/11/ac" url="C:\Users\pcpinerosf\Desktop\PLANES\Vigencia 2024\PLAN DE ADQUISICIONES - CONTRATISTAS\"/>
    </mc:Choice>
  </mc:AlternateContent>
  <xr:revisionPtr revIDLastSave="0" documentId="13_ncr:1_{51476E1A-251C-4484-912E-47B4F40D8214}" xr6:coauthVersionLast="36" xr6:coauthVersionMax="47" xr10:uidLastSave="{00000000-0000-0000-0000-000000000000}"/>
  <bookViews>
    <workbookView xWindow="0" yWindow="0" windowWidth="28800" windowHeight="11625" firstSheet="3" activeTab="3" xr2:uid="{00000000-000D-0000-FFFF-FFFF00000000}"/>
  </bookViews>
  <sheets>
    <sheet name="Dinámica" sheetId="26" state="hidden" r:id="rId1"/>
    <sheet name="ESCALAS Salarios" sheetId="7" state="hidden" r:id="rId2"/>
    <sheet name="Balance" sheetId="27" state="hidden" r:id="rId3"/>
    <sheet name="PAA Contratistas 2024" sheetId="24" r:id="rId4"/>
    <sheet name="PAA Contratistas 2024 +" sheetId="30" state="hidden" r:id="rId5"/>
    <sheet name="control " sheetId="25" state="hidden" r:id="rId6"/>
    <sheet name="Centro Lenguas" sheetId="28" state="hidden" r:id="rId7"/>
    <sheet name="4412-Gestion" sheetId="29" state="hidden" r:id="rId8"/>
    <sheet name="Equivalencias" sheetId="20"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7" hidden="1">'4412-Gestion'!$B$2:$L$13</definedName>
    <definedName name="_xlnm._FilterDatabase" localSheetId="6" hidden="1">'Centro Lenguas'!$A$5:$AU$209</definedName>
    <definedName name="_xlnm._FilterDatabase" localSheetId="3" hidden="1">'PAA Contratistas 2024'!$A$15:$BD$450</definedName>
    <definedName name="_xlnm._FilterDatabase" localSheetId="4" hidden="1">'PAA Contratistas 2024 +'!$A$11:$BF$125</definedName>
    <definedName name="_xlnm.Print_Area" localSheetId="3">'PAA Contratistas 2024'!$A$2:$BD$465</definedName>
    <definedName name="_xlnm.Print_Titles" localSheetId="3">'PAA Contratistas 2024'!$14:$15</definedName>
  </definedNames>
  <calcPr calcId="191029"/>
  <pivotCaches>
    <pivotCache cacheId="0"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4" i="24" l="1"/>
  <c r="AF453" i="24"/>
  <c r="AT452" i="24" l="1"/>
  <c r="AO452" i="24"/>
  <c r="AF452" i="24"/>
  <c r="AF450" i="24" l="1"/>
  <c r="AF449" i="24"/>
  <c r="AF448" i="24"/>
  <c r="AF447" i="24"/>
  <c r="AF446" i="24"/>
  <c r="AF445" i="24"/>
  <c r="AF444" i="24"/>
  <c r="AO451" i="24"/>
  <c r="AF451" i="24"/>
  <c r="AT443" i="24" l="1"/>
  <c r="AI443" i="24"/>
  <c r="AJ443" i="24" s="1"/>
  <c r="AF443" i="24"/>
  <c r="U443" i="24"/>
  <c r="AK443" i="24" s="1"/>
  <c r="L443" i="24"/>
  <c r="Q443" i="24" s="1"/>
  <c r="AT442" i="24"/>
  <c r="AI442" i="24"/>
  <c r="AJ442" i="24" s="1"/>
  <c r="AF442" i="24"/>
  <c r="U442" i="24"/>
  <c r="AK442" i="24" s="1"/>
  <c r="L442" i="24"/>
  <c r="Q442" i="24" s="1"/>
  <c r="AF439" i="24"/>
  <c r="AF441" i="24"/>
  <c r="AT440" i="24"/>
  <c r="AI440" i="24"/>
  <c r="AJ440" i="24" s="1"/>
  <c r="AF440" i="24"/>
  <c r="U440" i="24"/>
  <c r="AK440" i="24" s="1"/>
  <c r="L440" i="24"/>
  <c r="Q440" i="24" s="1"/>
  <c r="AT439" i="24"/>
  <c r="AI439" i="24"/>
  <c r="AJ439" i="24" s="1"/>
  <c r="U439" i="24"/>
  <c r="AK439" i="24" s="1"/>
  <c r="L439" i="24"/>
  <c r="K439" i="24" s="1"/>
  <c r="AT438" i="24"/>
  <c r="AI438" i="24"/>
  <c r="AJ438" i="24" s="1"/>
  <c r="AF438" i="24"/>
  <c r="U438" i="24"/>
  <c r="AK438" i="24" s="1"/>
  <c r="L438" i="24"/>
  <c r="T438" i="24" s="1"/>
  <c r="V438" i="24" s="1"/>
  <c r="AT437" i="24"/>
  <c r="AI437" i="24"/>
  <c r="AJ437" i="24" s="1"/>
  <c r="AF437" i="24"/>
  <c r="U437" i="24"/>
  <c r="AK437" i="24" s="1"/>
  <c r="L437" i="24"/>
  <c r="K437" i="24" s="1"/>
  <c r="AF436" i="24"/>
  <c r="AF435" i="24"/>
  <c r="AF434" i="24"/>
  <c r="AO436" i="24"/>
  <c r="AO435" i="24"/>
  <c r="AO434" i="24"/>
  <c r="T443" i="24" l="1"/>
  <c r="V443" i="24" s="1"/>
  <c r="K443" i="24"/>
  <c r="T442" i="24"/>
  <c r="V442" i="24" s="1"/>
  <c r="K442" i="24"/>
  <c r="T440" i="24"/>
  <c r="V440" i="24" s="1"/>
  <c r="K440" i="24"/>
  <c r="AN438" i="24"/>
  <c r="AO438" i="24" s="1"/>
  <c r="X438" i="24"/>
  <c r="AA438" i="24"/>
  <c r="T439" i="24"/>
  <c r="V439" i="24" s="1"/>
  <c r="K438" i="24"/>
  <c r="T437" i="24"/>
  <c r="V437" i="24" s="1"/>
  <c r="AF433" i="24"/>
  <c r="AF432" i="24"/>
  <c r="AF431" i="24"/>
  <c r="AF430" i="24"/>
  <c r="AF429" i="24"/>
  <c r="AN443" i="24" l="1"/>
  <c r="AO443" i="24" s="1"/>
  <c r="X443" i="24"/>
  <c r="AA443" i="24"/>
  <c r="AN442" i="24"/>
  <c r="AO442" i="24" s="1"/>
  <c r="AA442" i="24"/>
  <c r="X442" i="24"/>
  <c r="AN440" i="24"/>
  <c r="AO440" i="24" s="1"/>
  <c r="AA440" i="24"/>
  <c r="X440" i="24"/>
  <c r="AN439" i="24"/>
  <c r="AO439" i="24" s="1"/>
  <c r="AA439" i="24"/>
  <c r="X439" i="24"/>
  <c r="AN437" i="24"/>
  <c r="AO437" i="24" s="1"/>
  <c r="AA437" i="24"/>
  <c r="X437" i="24"/>
  <c r="AF421" i="24"/>
  <c r="AF422" i="24"/>
  <c r="AF423" i="24"/>
  <c r="AF424" i="24"/>
  <c r="AF425" i="24"/>
  <c r="AF426" i="24"/>
  <c r="AF427" i="24"/>
  <c r="AF428" i="24"/>
  <c r="AF420" i="24"/>
  <c r="AF419" i="24"/>
  <c r="AT428" i="24"/>
  <c r="AI428" i="24"/>
  <c r="AJ428" i="24" s="1"/>
  <c r="U428" i="24"/>
  <c r="AK428" i="24" s="1"/>
  <c r="L428" i="24"/>
  <c r="T428" i="24" s="1"/>
  <c r="AT427" i="24"/>
  <c r="AI427" i="24"/>
  <c r="AJ427" i="24" s="1"/>
  <c r="U427" i="24"/>
  <c r="AK427" i="24" s="1"/>
  <c r="L427" i="24"/>
  <c r="T427" i="24" s="1"/>
  <c r="AT426" i="24"/>
  <c r="AI426" i="24"/>
  <c r="AJ426" i="24" s="1"/>
  <c r="U426" i="24"/>
  <c r="AK426" i="24" s="1"/>
  <c r="L426" i="24"/>
  <c r="T426" i="24" s="1"/>
  <c r="AT425" i="24"/>
  <c r="AI425" i="24"/>
  <c r="AJ425" i="24" s="1"/>
  <c r="U425" i="24"/>
  <c r="AK425" i="24" s="1"/>
  <c r="L425" i="24"/>
  <c r="T425" i="24" s="1"/>
  <c r="AT424" i="24"/>
  <c r="AI424" i="24"/>
  <c r="AJ424" i="24" s="1"/>
  <c r="U424" i="24"/>
  <c r="AK424" i="24" s="1"/>
  <c r="L424" i="24"/>
  <c r="Q424" i="24" s="1"/>
  <c r="AT423" i="24"/>
  <c r="AI423" i="24"/>
  <c r="AJ423" i="24" s="1"/>
  <c r="U423" i="24"/>
  <c r="AK423" i="24" s="1"/>
  <c r="L423" i="24"/>
  <c r="T423" i="24" s="1"/>
  <c r="AT422" i="24"/>
  <c r="AI422" i="24"/>
  <c r="AJ422" i="24" s="1"/>
  <c r="U422" i="24"/>
  <c r="AK422" i="24" s="1"/>
  <c r="L422" i="24"/>
  <c r="K422" i="24" s="1"/>
  <c r="AT421" i="24"/>
  <c r="AI421" i="24"/>
  <c r="AJ421" i="24" s="1"/>
  <c r="U421" i="24"/>
  <c r="AK421" i="24" s="1"/>
  <c r="L421" i="24"/>
  <c r="Q421" i="24" s="1"/>
  <c r="AT420" i="24"/>
  <c r="AI420" i="24"/>
  <c r="AJ420" i="24" s="1"/>
  <c r="U420" i="24"/>
  <c r="AK420" i="24" s="1"/>
  <c r="L420" i="24"/>
  <c r="K420" i="24" s="1"/>
  <c r="AO419" i="24"/>
  <c r="AF418" i="24"/>
  <c r="AT417" i="24"/>
  <c r="AI417" i="24"/>
  <c r="AJ417" i="24" s="1"/>
  <c r="AF417" i="24"/>
  <c r="U417" i="24"/>
  <c r="AK417" i="24" s="1"/>
  <c r="AT416" i="24"/>
  <c r="AI416" i="24"/>
  <c r="AJ416" i="24" s="1"/>
  <c r="AF416" i="24"/>
  <c r="U416" i="24"/>
  <c r="AK416" i="24" s="1"/>
  <c r="AT415" i="24"/>
  <c r="AI415" i="24"/>
  <c r="AJ415" i="24" s="1"/>
  <c r="AF415" i="24"/>
  <c r="U415" i="24"/>
  <c r="AK415" i="24" s="1"/>
  <c r="AT414" i="24"/>
  <c r="AI414" i="24"/>
  <c r="AJ414" i="24" s="1"/>
  <c r="AF414" i="24"/>
  <c r="U414" i="24"/>
  <c r="AK414" i="24" s="1"/>
  <c r="AT413" i="24"/>
  <c r="AI413" i="24"/>
  <c r="AJ413" i="24" s="1"/>
  <c r="AF413" i="24"/>
  <c r="U413" i="24"/>
  <c r="AK413" i="24" s="1"/>
  <c r="L380" i="24"/>
  <c r="L348" i="24"/>
  <c r="AF399" i="24"/>
  <c r="AF400" i="24"/>
  <c r="AF401" i="24"/>
  <c r="AF402" i="24"/>
  <c r="AF403" i="24"/>
  <c r="AF404" i="24"/>
  <c r="AF405" i="24"/>
  <c r="AF406" i="24"/>
  <c r="AF407" i="24"/>
  <c r="AF408" i="24"/>
  <c r="AF409" i="24"/>
  <c r="AF412" i="24"/>
  <c r="L412" i="24"/>
  <c r="L409" i="24"/>
  <c r="L408" i="24"/>
  <c r="L407" i="24"/>
  <c r="L406" i="24"/>
  <c r="L405" i="24"/>
  <c r="L404" i="24"/>
  <c r="L399" i="24"/>
  <c r="AA414" i="24"/>
  <c r="X414" i="24"/>
  <c r="AN414" i="24"/>
  <c r="AO414" i="24" s="1"/>
  <c r="AF398" i="24"/>
  <c r="AF397" i="24"/>
  <c r="AF396" i="24"/>
  <c r="AF395" i="24"/>
  <c r="AF394" i="24"/>
  <c r="AF393" i="24"/>
  <c r="AF392" i="24"/>
  <c r="AT390" i="24"/>
  <c r="AI390" i="24"/>
  <c r="AJ390" i="24" s="1"/>
  <c r="AF390" i="24"/>
  <c r="X390" i="24"/>
  <c r="U390" i="24"/>
  <c r="AK390" i="24" s="1"/>
  <c r="AT391" i="24"/>
  <c r="AI391" i="24"/>
  <c r="AJ391" i="24" s="1"/>
  <c r="AF391" i="24"/>
  <c r="X391" i="24"/>
  <c r="U391" i="24"/>
  <c r="AK391" i="24" s="1"/>
  <c r="T389" i="24"/>
  <c r="AI389" i="24"/>
  <c r="AJ389" i="24" s="1"/>
  <c r="AF389" i="24"/>
  <c r="W389" i="24"/>
  <c r="U389" i="24"/>
  <c r="K389" i="24"/>
  <c r="AF351" i="24"/>
  <c r="AF352" i="24"/>
  <c r="AF353" i="24"/>
  <c r="AF354" i="24"/>
  <c r="AF355" i="24"/>
  <c r="AF356" i="24"/>
  <c r="AF357" i="24"/>
  <c r="AF363" i="24"/>
  <c r="AF364" i="24"/>
  <c r="AF365" i="24"/>
  <c r="AF366" i="24"/>
  <c r="AF367" i="24"/>
  <c r="AF368" i="24"/>
  <c r="AF369" i="24"/>
  <c r="AF370" i="24"/>
  <c r="AF371" i="24"/>
  <c r="AF372" i="24"/>
  <c r="AF373" i="24"/>
  <c r="AF374" i="24"/>
  <c r="AF378" i="24"/>
  <c r="AF381" i="24"/>
  <c r="AF382" i="24"/>
  <c r="AF383" i="24"/>
  <c r="AF387" i="24"/>
  <c r="AF388" i="24"/>
  <c r="AF347" i="24"/>
  <c r="AI346" i="24"/>
  <c r="AJ346" i="24" s="1"/>
  <c r="AF346" i="24"/>
  <c r="W346" i="24"/>
  <c r="U346" i="24"/>
  <c r="AK346" i="24" s="1"/>
  <c r="AT345" i="24"/>
  <c r="AI345" i="24"/>
  <c r="AJ345" i="24" s="1"/>
  <c r="AF345" i="24"/>
  <c r="W345" i="24"/>
  <c r="U345" i="24"/>
  <c r="AK345" i="24" s="1"/>
  <c r="AT344" i="24"/>
  <c r="AI344" i="24"/>
  <c r="AJ344" i="24" s="1"/>
  <c r="AF344" i="24"/>
  <c r="W344" i="24"/>
  <c r="U344" i="24"/>
  <c r="AK344" i="24" s="1"/>
  <c r="AT343" i="24"/>
  <c r="AI343" i="24"/>
  <c r="AJ343" i="24" s="1"/>
  <c r="AF343" i="24"/>
  <c r="W343" i="24"/>
  <c r="U343" i="24"/>
  <c r="AK343" i="24" s="1"/>
  <c r="AT342" i="24"/>
  <c r="AI342" i="24"/>
  <c r="AJ342" i="24" s="1"/>
  <c r="AF342" i="24"/>
  <c r="W342" i="24"/>
  <c r="U342" i="24"/>
  <c r="AK342" i="24" s="1"/>
  <c r="AT341" i="24"/>
  <c r="AI341" i="24"/>
  <c r="AJ341" i="24" s="1"/>
  <c r="AF341" i="24"/>
  <c r="W341" i="24"/>
  <c r="U341" i="24"/>
  <c r="AK341" i="24" s="1"/>
  <c r="AT340" i="24"/>
  <c r="AI340" i="24"/>
  <c r="AJ340" i="24" s="1"/>
  <c r="AF340" i="24"/>
  <c r="W340" i="24"/>
  <c r="U340" i="24"/>
  <c r="AK340" i="24" s="1"/>
  <c r="AT339" i="24"/>
  <c r="AI339" i="24"/>
  <c r="AJ339" i="24" s="1"/>
  <c r="AF339" i="24"/>
  <c r="W339" i="24"/>
  <c r="U339" i="24"/>
  <c r="AK339" i="24" s="1"/>
  <c r="AT338" i="24"/>
  <c r="AI338" i="24"/>
  <c r="AJ338" i="24" s="1"/>
  <c r="AF338" i="24"/>
  <c r="W338" i="24"/>
  <c r="U338" i="24"/>
  <c r="AK338" i="24" s="1"/>
  <c r="AT337" i="24"/>
  <c r="AI337" i="24"/>
  <c r="AJ337" i="24" s="1"/>
  <c r="AF337" i="24"/>
  <c r="W337" i="24"/>
  <c r="U337" i="24"/>
  <c r="AK337" i="24" s="1"/>
  <c r="AT336" i="24"/>
  <c r="AI336" i="24"/>
  <c r="AJ336" i="24" s="1"/>
  <c r="AF336" i="24"/>
  <c r="W336" i="24"/>
  <c r="U336" i="24"/>
  <c r="AK336" i="24" s="1"/>
  <c r="AT335" i="24"/>
  <c r="AI335" i="24"/>
  <c r="AJ335" i="24" s="1"/>
  <c r="AF335" i="24"/>
  <c r="W335" i="24"/>
  <c r="U335" i="24"/>
  <c r="AK335" i="24" s="1"/>
  <c r="AT334" i="24"/>
  <c r="AI334" i="24"/>
  <c r="AJ334" i="24" s="1"/>
  <c r="AF334" i="24"/>
  <c r="W334" i="24"/>
  <c r="U334" i="24"/>
  <c r="AK334" i="24" s="1"/>
  <c r="AT333" i="24"/>
  <c r="AI333" i="24"/>
  <c r="AJ333" i="24" s="1"/>
  <c r="AF333" i="24"/>
  <c r="W333" i="24"/>
  <c r="U333" i="24"/>
  <c r="AK333" i="24" s="1"/>
  <c r="AT332" i="24"/>
  <c r="AI332" i="24"/>
  <c r="AJ332" i="24" s="1"/>
  <c r="AF332" i="24"/>
  <c r="W332" i="24"/>
  <c r="U332" i="24"/>
  <c r="AK332" i="24" s="1"/>
  <c r="AT331" i="24"/>
  <c r="AI331" i="24"/>
  <c r="AJ331" i="24" s="1"/>
  <c r="AF331" i="24"/>
  <c r="W331" i="24"/>
  <c r="U331" i="24"/>
  <c r="AK331" i="24" s="1"/>
  <c r="AT330" i="24"/>
  <c r="AI330" i="24"/>
  <c r="AJ330" i="24" s="1"/>
  <c r="AF330" i="24"/>
  <c r="W330" i="24"/>
  <c r="U330" i="24"/>
  <c r="AK330" i="24" s="1"/>
  <c r="AT329" i="24"/>
  <c r="AI329" i="24"/>
  <c r="AJ329" i="24" s="1"/>
  <c r="AF329" i="24"/>
  <c r="W329" i="24"/>
  <c r="U329" i="24"/>
  <c r="AK329" i="24" s="1"/>
  <c r="AT328" i="24"/>
  <c r="AI328" i="24"/>
  <c r="AJ328" i="24" s="1"/>
  <c r="AF328" i="24"/>
  <c r="W328" i="24"/>
  <c r="U328" i="24"/>
  <c r="AK328" i="24" s="1"/>
  <c r="AT327" i="24"/>
  <c r="AI327" i="24"/>
  <c r="AJ327" i="24" s="1"/>
  <c r="AF327" i="24"/>
  <c r="U327" i="24"/>
  <c r="AK327" i="24" s="1"/>
  <c r="AF326" i="24"/>
  <c r="AF325" i="24"/>
  <c r="AF324" i="24"/>
  <c r="AF323" i="24"/>
  <c r="AF322" i="24"/>
  <c r="AT321" i="24"/>
  <c r="AI321" i="24"/>
  <c r="AJ321" i="24" s="1"/>
  <c r="AF321" i="24"/>
  <c r="W321" i="24"/>
  <c r="U321" i="24"/>
  <c r="AK321" i="24" s="1"/>
  <c r="AO249" i="24"/>
  <c r="AF249" i="24"/>
  <c r="AO248" i="24"/>
  <c r="AF248" i="24"/>
  <c r="AF318" i="24"/>
  <c r="L318" i="24"/>
  <c r="AF317" i="24"/>
  <c r="L317" i="24"/>
  <c r="AF316" i="24"/>
  <c r="L316" i="24"/>
  <c r="AF315" i="24"/>
  <c r="L315" i="24"/>
  <c r="AF314" i="24"/>
  <c r="L314" i="24"/>
  <c r="AF313" i="24"/>
  <c r="L313" i="24"/>
  <c r="AF312" i="24"/>
  <c r="L312" i="24"/>
  <c r="AF311" i="24"/>
  <c r="L311" i="24"/>
  <c r="AF310" i="24"/>
  <c r="L310" i="24"/>
  <c r="AF309" i="24"/>
  <c r="L309" i="24"/>
  <c r="AF308" i="24"/>
  <c r="L308" i="24"/>
  <c r="AF307" i="24"/>
  <c r="L307" i="24"/>
  <c r="AF306" i="24"/>
  <c r="L306" i="24"/>
  <c r="AF305" i="24"/>
  <c r="L305" i="24"/>
  <c r="AF304" i="24"/>
  <c r="L304" i="24"/>
  <c r="AF303" i="24"/>
  <c r="L303" i="24"/>
  <c r="AF302" i="24"/>
  <c r="L302" i="24"/>
  <c r="AF301" i="24"/>
  <c r="L301" i="24"/>
  <c r="AF300" i="24"/>
  <c r="L300" i="24"/>
  <c r="AF299" i="24"/>
  <c r="L299" i="24"/>
  <c r="AF298" i="24"/>
  <c r="L298" i="24"/>
  <c r="AF297" i="24"/>
  <c r="L297" i="24"/>
  <c r="AF296" i="24"/>
  <c r="L296" i="24"/>
  <c r="AF295" i="24"/>
  <c r="L295" i="24"/>
  <c r="AF294" i="24"/>
  <c r="L294" i="24"/>
  <c r="AF293" i="24"/>
  <c r="L293" i="24"/>
  <c r="AF292" i="24"/>
  <c r="L292" i="24"/>
  <c r="AF291" i="24"/>
  <c r="L291" i="24"/>
  <c r="AF290" i="24"/>
  <c r="L290" i="24"/>
  <c r="AF289" i="24"/>
  <c r="L289" i="24"/>
  <c r="AF288" i="24"/>
  <c r="L288" i="24"/>
  <c r="AF287" i="24"/>
  <c r="L287" i="24"/>
  <c r="AF286" i="24"/>
  <c r="L286" i="24"/>
  <c r="AF285" i="24"/>
  <c r="L285" i="24"/>
  <c r="AF284" i="24"/>
  <c r="L284" i="24"/>
  <c r="AF283" i="24"/>
  <c r="L283" i="24"/>
  <c r="AF282" i="24"/>
  <c r="L282" i="24"/>
  <c r="AF281" i="24"/>
  <c r="L281" i="24"/>
  <c r="AF280" i="24"/>
  <c r="L280" i="24"/>
  <c r="AF279" i="24"/>
  <c r="L279" i="24"/>
  <c r="AF278" i="24"/>
  <c r="L278" i="24"/>
  <c r="AF277" i="24"/>
  <c r="L277" i="24"/>
  <c r="AF276" i="24"/>
  <c r="L276" i="24"/>
  <c r="AF275" i="24"/>
  <c r="L275" i="24"/>
  <c r="AF274" i="24"/>
  <c r="L274" i="24"/>
  <c r="AF273" i="24"/>
  <c r="L273" i="24"/>
  <c r="AF272" i="24"/>
  <c r="L272" i="24"/>
  <c r="AF271" i="24"/>
  <c r="L271" i="24"/>
  <c r="AO93" i="24"/>
  <c r="AT269" i="24"/>
  <c r="AJ269" i="24"/>
  <c r="AF269" i="24"/>
  <c r="U269" i="24"/>
  <c r="AK269" i="24" s="1"/>
  <c r="K269" i="24"/>
  <c r="AT268" i="24"/>
  <c r="AJ268" i="24"/>
  <c r="AF268" i="24"/>
  <c r="U268" i="24"/>
  <c r="AK268" i="24" s="1"/>
  <c r="T269" i="24"/>
  <c r="V269" i="24" s="1"/>
  <c r="T268" i="24"/>
  <c r="V268" i="24" s="1"/>
  <c r="X268" i="24" s="1"/>
  <c r="K268" i="24"/>
  <c r="AO269" i="24"/>
  <c r="AO268" i="24"/>
  <c r="AF55" i="24"/>
  <c r="AT267" i="24"/>
  <c r="AO267" i="24"/>
  <c r="AJ267" i="24"/>
  <c r="AF267" i="24"/>
  <c r="X267" i="24"/>
  <c r="U267" i="24"/>
  <c r="AK267" i="24" s="1"/>
  <c r="AF261" i="24"/>
  <c r="AF262" i="24"/>
  <c r="AF260" i="24"/>
  <c r="AT266" i="24"/>
  <c r="AI266" i="24"/>
  <c r="AJ266" i="24" s="1"/>
  <c r="AF266" i="24"/>
  <c r="U266" i="24"/>
  <c r="AK266" i="24" s="1"/>
  <c r="Q263" i="24"/>
  <c r="AT265" i="24"/>
  <c r="AI265" i="24"/>
  <c r="AJ265" i="24" s="1"/>
  <c r="AF265" i="24"/>
  <c r="AK265" i="24"/>
  <c r="T265" i="24"/>
  <c r="AT264" i="24"/>
  <c r="AI264" i="24"/>
  <c r="AJ264" i="24" s="1"/>
  <c r="AF264" i="24"/>
  <c r="X264" i="24"/>
  <c r="AK264" i="24"/>
  <c r="AT263" i="24"/>
  <c r="AI263" i="24"/>
  <c r="AJ263" i="24" s="1"/>
  <c r="AF263" i="24"/>
  <c r="AK263" i="24"/>
  <c r="T263" i="24"/>
  <c r="X266" i="24"/>
  <c r="AN266" i="24"/>
  <c r="AO266" i="24" s="1"/>
  <c r="AA266" i="24"/>
  <c r="Q265" i="24"/>
  <c r="K265" i="24"/>
  <c r="AA261" i="24"/>
  <c r="AA262" i="24"/>
  <c r="AA260" i="24"/>
  <c r="AF259" i="24"/>
  <c r="AT259" i="24"/>
  <c r="AI259" i="24"/>
  <c r="AJ259" i="24" s="1"/>
  <c r="U259" i="24"/>
  <c r="AK259" i="24" s="1"/>
  <c r="AK256" i="24"/>
  <c r="AI256" i="24"/>
  <c r="AJ256" i="24" s="1"/>
  <c r="AF256" i="24"/>
  <c r="T256" i="24"/>
  <c r="V256" i="24" s="1"/>
  <c r="X256" i="24" s="1"/>
  <c r="AK257" i="24"/>
  <c r="AI257" i="24"/>
  <c r="AJ257" i="24" s="1"/>
  <c r="AF257" i="24"/>
  <c r="T257" i="24"/>
  <c r="V257" i="24" s="1"/>
  <c r="AN257" i="24" s="1"/>
  <c r="AO257" i="24" s="1"/>
  <c r="AK258" i="24"/>
  <c r="AI258" i="24"/>
  <c r="AJ258" i="24" s="1"/>
  <c r="AF258" i="24"/>
  <c r="K258" i="24"/>
  <c r="K256" i="24"/>
  <c r="K257" i="24"/>
  <c r="T258" i="24"/>
  <c r="V258" i="24" s="1"/>
  <c r="AA258" i="24" s="1"/>
  <c r="AI255" i="24"/>
  <c r="AJ255" i="24" s="1"/>
  <c r="AF255" i="24"/>
  <c r="W255" i="24"/>
  <c r="U255" i="24"/>
  <c r="AK255" i="24" s="1"/>
  <c r="K255" i="24"/>
  <c r="AI254" i="24"/>
  <c r="AJ254" i="24" s="1"/>
  <c r="AF254" i="24"/>
  <c r="AK254" i="24"/>
  <c r="L254" i="24"/>
  <c r="K254" i="24" s="1"/>
  <c r="Q255" i="24"/>
  <c r="T255" i="24"/>
  <c r="AN253" i="24"/>
  <c r="AO253" i="24" s="1"/>
  <c r="AT253" i="24"/>
  <c r="AI253" i="24"/>
  <c r="AJ253" i="24" s="1"/>
  <c r="AF253" i="24"/>
  <c r="AA253" i="24"/>
  <c r="X253" i="24"/>
  <c r="AK253" i="24"/>
  <c r="T253" i="24"/>
  <c r="J253" i="24"/>
  <c r="K253" i="24" s="1"/>
  <c r="AF252" i="24"/>
  <c r="AF251" i="24"/>
  <c r="AT250" i="24"/>
  <c r="AJ250" i="24"/>
  <c r="AF250" i="24"/>
  <c r="AF247" i="24"/>
  <c r="AF246" i="24"/>
  <c r="AF245" i="24"/>
  <c r="AT244" i="24"/>
  <c r="AI244" i="24"/>
  <c r="AJ244" i="24" s="1"/>
  <c r="AF244" i="24"/>
  <c r="U244" i="24"/>
  <c r="AK244" i="24" s="1"/>
  <c r="AT243" i="24"/>
  <c r="AI243" i="24"/>
  <c r="AJ243" i="24" s="1"/>
  <c r="AF243" i="24"/>
  <c r="U243" i="24"/>
  <c r="AK243" i="24" s="1"/>
  <c r="K243" i="24"/>
  <c r="Q243" i="24"/>
  <c r="T243" i="24"/>
  <c r="AF242" i="24"/>
  <c r="AF241" i="24"/>
  <c r="AF240" i="24"/>
  <c r="AF239" i="24"/>
  <c r="AF238" i="24"/>
  <c r="AF237" i="24"/>
  <c r="AF236" i="24"/>
  <c r="AF235" i="24"/>
  <c r="AF234" i="24"/>
  <c r="AF218" i="24"/>
  <c r="AF219" i="24"/>
  <c r="AF220" i="24"/>
  <c r="AF221" i="24"/>
  <c r="AF222" i="24"/>
  <c r="AF223" i="24"/>
  <c r="AF224" i="24"/>
  <c r="AF225" i="24"/>
  <c r="AF226" i="24"/>
  <c r="AF227" i="24"/>
  <c r="AF228" i="24"/>
  <c r="AF229" i="24"/>
  <c r="AF230" i="24"/>
  <c r="AF231" i="24"/>
  <c r="AF232" i="24"/>
  <c r="AF233" i="24"/>
  <c r="AF217" i="24"/>
  <c r="AT216" i="24"/>
  <c r="V216" i="24"/>
  <c r="AA216" i="24" s="1"/>
  <c r="AN216" i="24" s="1"/>
  <c r="AO216" i="24" s="1"/>
  <c r="AF216" i="24"/>
  <c r="AF186" i="24"/>
  <c r="AF187" i="24"/>
  <c r="AF188" i="24"/>
  <c r="AF189" i="24"/>
  <c r="AF190" i="24"/>
  <c r="AF191" i="24"/>
  <c r="AF192" i="24"/>
  <c r="AF193" i="24"/>
  <c r="AF194" i="24"/>
  <c r="AF195" i="24"/>
  <c r="AF196" i="24"/>
  <c r="AF197" i="24"/>
  <c r="AF198" i="24"/>
  <c r="AF199" i="24"/>
  <c r="AF200" i="24"/>
  <c r="AF201" i="24"/>
  <c r="AF202" i="24"/>
  <c r="AF203" i="24"/>
  <c r="AF204" i="24"/>
  <c r="AF205" i="24"/>
  <c r="AF206" i="24"/>
  <c r="AF207" i="24"/>
  <c r="AF208" i="24"/>
  <c r="AF209" i="24"/>
  <c r="AF210" i="24"/>
  <c r="AF211" i="24"/>
  <c r="AF212" i="24"/>
  <c r="AF213" i="24"/>
  <c r="AF214" i="24"/>
  <c r="AF215" i="24"/>
  <c r="AF185" i="24"/>
  <c r="T184" i="24"/>
  <c r="V184" i="24" s="1"/>
  <c r="AA184" i="24" s="1"/>
  <c r="T183" i="24"/>
  <c r="V183" i="24" s="1"/>
  <c r="AA183" i="24" s="1"/>
  <c r="T182" i="24"/>
  <c r="V182" i="24" s="1"/>
  <c r="AA182" i="24" s="1"/>
  <c r="T181" i="24"/>
  <c r="V181" i="24" s="1"/>
  <c r="AA181" i="24" s="1"/>
  <c r="T180" i="24"/>
  <c r="V180" i="24" s="1"/>
  <c r="AA180" i="24" s="1"/>
  <c r="T179" i="24"/>
  <c r="V179" i="24" s="1"/>
  <c r="AA179" i="24" s="1"/>
  <c r="T178" i="24"/>
  <c r="V178" i="24" s="1"/>
  <c r="AA178" i="24" s="1"/>
  <c r="T177" i="24"/>
  <c r="V177" i="24" s="1"/>
  <c r="AA177" i="24" s="1"/>
  <c r="T176" i="24"/>
  <c r="V176" i="24" s="1"/>
  <c r="AA176" i="24" s="1"/>
  <c r="T175" i="24"/>
  <c r="V175" i="24" s="1"/>
  <c r="AA175" i="24" s="1"/>
  <c r="T174" i="24"/>
  <c r="V174" i="24" s="1"/>
  <c r="AA174" i="24" s="1"/>
  <c r="U175" i="24"/>
  <c r="U176" i="24"/>
  <c r="U177" i="24"/>
  <c r="U178" i="24"/>
  <c r="U179" i="24"/>
  <c r="U180" i="24"/>
  <c r="U182" i="24"/>
  <c r="U183" i="24"/>
  <c r="U184" i="24"/>
  <c r="AT184" i="24"/>
  <c r="AT183" i="24"/>
  <c r="AT182" i="24"/>
  <c r="AT181" i="24"/>
  <c r="AT180" i="24"/>
  <c r="AT179" i="24"/>
  <c r="AT178" i="24"/>
  <c r="AT177" i="24"/>
  <c r="AT176" i="24"/>
  <c r="AT175" i="24"/>
  <c r="AT174" i="24"/>
  <c r="AO175" i="24"/>
  <c r="AO176" i="24"/>
  <c r="AO177" i="24"/>
  <c r="AO178" i="24"/>
  <c r="AO179" i="24"/>
  <c r="AO180" i="24"/>
  <c r="AO181" i="24"/>
  <c r="AO182" i="24"/>
  <c r="AO183" i="24"/>
  <c r="AO184" i="24"/>
  <c r="AO174" i="24"/>
  <c r="AF175" i="24"/>
  <c r="AF176" i="24"/>
  <c r="AF177" i="24"/>
  <c r="AF178" i="24"/>
  <c r="AF179" i="24"/>
  <c r="AF180" i="24"/>
  <c r="AF181" i="24"/>
  <c r="AF182" i="24"/>
  <c r="AF183" i="24"/>
  <c r="AF184" i="24"/>
  <c r="AF174" i="24"/>
  <c r="L16" i="24"/>
  <c r="M10" i="24" s="1"/>
  <c r="M9" i="24" s="1"/>
  <c r="U63" i="24"/>
  <c r="AK63" i="24" s="1"/>
  <c r="AF117" i="24"/>
  <c r="AF118" i="24"/>
  <c r="AF119" i="24"/>
  <c r="AF120" i="24"/>
  <c r="AF121" i="24"/>
  <c r="AF122" i="24"/>
  <c r="AF123" i="24"/>
  <c r="AF124" i="24"/>
  <c r="AF125" i="24"/>
  <c r="AF126" i="24"/>
  <c r="AF127" i="24"/>
  <c r="AF128" i="24"/>
  <c r="AF129" i="24"/>
  <c r="AF130" i="24"/>
  <c r="AF131" i="24"/>
  <c r="AF132" i="24"/>
  <c r="AF133" i="24"/>
  <c r="AF134" i="24"/>
  <c r="AF135" i="24"/>
  <c r="AF136" i="24"/>
  <c r="AF137" i="24"/>
  <c r="AF138" i="24"/>
  <c r="AF139" i="24"/>
  <c r="AF140" i="24"/>
  <c r="AF141" i="24"/>
  <c r="AF142" i="24"/>
  <c r="AF143" i="24"/>
  <c r="AF144" i="24"/>
  <c r="AF145" i="24"/>
  <c r="AF146" i="24"/>
  <c r="AF147" i="24"/>
  <c r="AF148" i="24"/>
  <c r="AF149" i="24"/>
  <c r="AF150" i="24"/>
  <c r="AF151" i="24"/>
  <c r="AF152" i="24"/>
  <c r="AF153" i="24"/>
  <c r="AF154" i="24"/>
  <c r="AF155" i="24"/>
  <c r="AF156" i="24"/>
  <c r="AF157" i="24"/>
  <c r="AF158" i="24"/>
  <c r="AF159" i="24"/>
  <c r="AF160" i="24"/>
  <c r="AF161" i="24"/>
  <c r="AF162" i="24"/>
  <c r="AF163" i="24"/>
  <c r="AF164" i="24"/>
  <c r="AF165" i="24"/>
  <c r="AF166" i="24"/>
  <c r="AF167" i="24"/>
  <c r="AF168" i="24"/>
  <c r="AF169" i="24"/>
  <c r="AF170" i="24"/>
  <c r="AF171" i="24"/>
  <c r="AF172" i="24"/>
  <c r="AF173" i="24"/>
  <c r="AF116" i="24"/>
  <c r="AF115" i="24"/>
  <c r="Q62" i="24"/>
  <c r="Q60" i="24"/>
  <c r="U29" i="24"/>
  <c r="AK29" i="24" s="1"/>
  <c r="X29" i="24"/>
  <c r="AF29" i="24"/>
  <c r="AI29" i="24"/>
  <c r="AJ29" i="24" s="1"/>
  <c r="AT29" i="24"/>
  <c r="AT28" i="24"/>
  <c r="AI28" i="24"/>
  <c r="AJ28" i="24" s="1"/>
  <c r="AF28" i="24"/>
  <c r="X28" i="24"/>
  <c r="U28" i="24"/>
  <c r="AK28" i="24" s="1"/>
  <c r="L28" i="24"/>
  <c r="K28" i="24" s="1"/>
  <c r="AT17" i="24"/>
  <c r="AI17" i="24"/>
  <c r="AJ17" i="24" s="1"/>
  <c r="AF17" i="24"/>
  <c r="X17" i="24"/>
  <c r="U17" i="24"/>
  <c r="AK17" i="24" s="1"/>
  <c r="L17" i="24"/>
  <c r="T17" i="24" s="1"/>
  <c r="J115" i="24"/>
  <c r="L115" i="24" s="1"/>
  <c r="AK115" i="24"/>
  <c r="AI115" i="24"/>
  <c r="AJ115" i="24" s="1"/>
  <c r="U96" i="24"/>
  <c r="AK96" i="24" s="1"/>
  <c r="AA115" i="24"/>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K42" i="27"/>
  <c r="K40" i="27"/>
  <c r="J40" i="27"/>
  <c r="X115" i="24"/>
  <c r="AN115" i="24"/>
  <c r="AO115" i="24" s="1"/>
  <c r="AT25" i="24"/>
  <c r="AI25" i="24"/>
  <c r="AJ25" i="24" s="1"/>
  <c r="AF25" i="24"/>
  <c r="U25" i="24"/>
  <c r="AK25" i="24" s="1"/>
  <c r="AV133" i="30"/>
  <c r="AK133" i="30"/>
  <c r="AL133" i="30" s="1"/>
  <c r="AH133" i="30"/>
  <c r="W133" i="30"/>
  <c r="AM133" i="30" s="1"/>
  <c r="AV132" i="30"/>
  <c r="AK132" i="30"/>
  <c r="AL132" i="30" s="1"/>
  <c r="AH132" i="30"/>
  <c r="W132" i="30"/>
  <c r="AM132" i="30"/>
  <c r="AV131" i="30"/>
  <c r="AK131" i="30"/>
  <c r="AL131" i="30" s="1"/>
  <c r="AH131" i="30"/>
  <c r="W131" i="30"/>
  <c r="AM131" i="30" s="1"/>
  <c r="AV130" i="30"/>
  <c r="AK130" i="30"/>
  <c r="AL130" i="30" s="1"/>
  <c r="AH130" i="30"/>
  <c r="W130" i="30"/>
  <c r="AM130" i="30"/>
  <c r="AV129" i="30"/>
  <c r="AK129" i="30"/>
  <c r="AL129" i="30" s="1"/>
  <c r="AH129" i="30"/>
  <c r="W129" i="30"/>
  <c r="AM129" i="30"/>
  <c r="AV128" i="30"/>
  <c r="AK128" i="30"/>
  <c r="AL128" i="30" s="1"/>
  <c r="AH128" i="30"/>
  <c r="W128" i="30"/>
  <c r="AM128" i="30"/>
  <c r="AV127" i="30"/>
  <c r="AK127" i="30"/>
  <c r="AL127" i="30" s="1"/>
  <c r="AH127" i="30"/>
  <c r="W127" i="30"/>
  <c r="AM127" i="30" s="1"/>
  <c r="AV126" i="30"/>
  <c r="AK126" i="30"/>
  <c r="AL126" i="30" s="1"/>
  <c r="AH126" i="30"/>
  <c r="W126" i="30"/>
  <c r="AM126" i="30"/>
  <c r="AV125" i="30"/>
  <c r="AH125" i="30"/>
  <c r="Y125" i="30"/>
  <c r="R125" i="30"/>
  <c r="Q125" i="30"/>
  <c r="W125" i="30" s="1"/>
  <c r="AK125" i="30"/>
  <c r="AL125" i="30" s="1"/>
  <c r="AH124" i="30"/>
  <c r="R124" i="30"/>
  <c r="Q124" i="30"/>
  <c r="AK124" i="30"/>
  <c r="AL124" i="30"/>
  <c r="L124" i="30"/>
  <c r="V124" i="30" s="1"/>
  <c r="AH123" i="30"/>
  <c r="Y123" i="30"/>
  <c r="R123" i="30"/>
  <c r="Q123" i="30"/>
  <c r="AH122" i="30"/>
  <c r="R122" i="30"/>
  <c r="Q122" i="30"/>
  <c r="AH121" i="30"/>
  <c r="R121" i="30"/>
  <c r="Q121" i="30"/>
  <c r="AV120" i="30"/>
  <c r="AH120" i="30"/>
  <c r="Y120" i="30"/>
  <c r="R120" i="30"/>
  <c r="Q120" i="30"/>
  <c r="W120" i="30" s="1"/>
  <c r="AM120" i="30" s="1"/>
  <c r="AK120" i="30"/>
  <c r="AL120" i="30"/>
  <c r="AV119" i="30"/>
  <c r="AH119" i="30"/>
  <c r="Y119" i="30"/>
  <c r="R119" i="30"/>
  <c r="Q119" i="30"/>
  <c r="AK119" i="30" s="1"/>
  <c r="AL119" i="30" s="1"/>
  <c r="AV118" i="30"/>
  <c r="AH118" i="30"/>
  <c r="R118" i="30"/>
  <c r="Q118" i="30"/>
  <c r="AK118" i="30"/>
  <c r="AL118" i="30"/>
  <c r="AV117" i="30"/>
  <c r="AH117" i="30"/>
  <c r="R117" i="30"/>
  <c r="Q117" i="30"/>
  <c r="AH116" i="30"/>
  <c r="R116" i="30"/>
  <c r="Q116" i="30"/>
  <c r="L116" i="30"/>
  <c r="K116" i="30" s="1"/>
  <c r="V116" i="30"/>
  <c r="AH115" i="30"/>
  <c r="R115" i="30"/>
  <c r="W115" i="30" s="1"/>
  <c r="Q115" i="30"/>
  <c r="AH114" i="30"/>
  <c r="R114" i="30"/>
  <c r="Q114" i="30"/>
  <c r="J114" i="30"/>
  <c r="K114" i="30" s="1"/>
  <c r="L114" i="30"/>
  <c r="V114" i="30" s="1"/>
  <c r="AV113" i="30"/>
  <c r="AH113" i="30"/>
  <c r="R113" i="30"/>
  <c r="Q113" i="30"/>
  <c r="AV112" i="30"/>
  <c r="AH112" i="30"/>
  <c r="R112" i="30"/>
  <c r="Q112" i="30"/>
  <c r="AK112" i="30" s="1"/>
  <c r="AL112" i="30" s="1"/>
  <c r="AV111" i="30"/>
  <c r="AH111" i="30"/>
  <c r="R111" i="30"/>
  <c r="Q111" i="30"/>
  <c r="AV110" i="30"/>
  <c r="AH110" i="30"/>
  <c r="R110" i="30"/>
  <c r="Q110" i="30"/>
  <c r="AK110" i="30"/>
  <c r="AL110" i="30"/>
  <c r="AV109" i="30"/>
  <c r="AH109" i="30"/>
  <c r="R109" i="30"/>
  <c r="W109" i="30" s="1"/>
  <c r="AM109" i="30" s="1"/>
  <c r="Q109" i="30"/>
  <c r="AK109" i="30"/>
  <c r="AL109" i="30" s="1"/>
  <c r="AV108" i="30"/>
  <c r="AH108" i="30"/>
  <c r="R108" i="30"/>
  <c r="W108" i="30" s="1"/>
  <c r="Q108" i="30"/>
  <c r="AK108" i="30"/>
  <c r="AL108" i="30"/>
  <c r="AV107" i="30"/>
  <c r="AH107" i="30"/>
  <c r="R107" i="30"/>
  <c r="W107" i="30" s="1"/>
  <c r="AM107" i="30" s="1"/>
  <c r="Q107" i="30"/>
  <c r="AV106" i="30"/>
  <c r="AH106" i="30"/>
  <c r="R106" i="30"/>
  <c r="Q106" i="30"/>
  <c r="AK106" i="30" s="1"/>
  <c r="AL106" i="30" s="1"/>
  <c r="AV105" i="30"/>
  <c r="AH105" i="30"/>
  <c r="R105" i="30"/>
  <c r="Q105" i="30"/>
  <c r="AV104" i="30"/>
  <c r="AH104" i="30"/>
  <c r="R104" i="30"/>
  <c r="W104" i="30" s="1"/>
  <c r="AM104" i="30" s="1"/>
  <c r="Q104" i="30"/>
  <c r="AK104" i="30" s="1"/>
  <c r="AL104" i="30"/>
  <c r="AV103" i="30"/>
  <c r="AH103" i="30"/>
  <c r="R103" i="30"/>
  <c r="Q103" i="30"/>
  <c r="AV102" i="30"/>
  <c r="AH102" i="30"/>
  <c r="R102" i="30"/>
  <c r="Q102" i="30"/>
  <c r="AK102" i="30"/>
  <c r="AL102" i="30" s="1"/>
  <c r="J102" i="30"/>
  <c r="L102" i="30"/>
  <c r="V102" i="30"/>
  <c r="AV101" i="30"/>
  <c r="AH101" i="30"/>
  <c r="R101" i="30"/>
  <c r="Q101" i="30"/>
  <c r="AK101" i="30"/>
  <c r="AL101" i="30"/>
  <c r="AV100" i="30"/>
  <c r="AH100" i="30"/>
  <c r="R100" i="30"/>
  <c r="W100" i="30" s="1"/>
  <c r="AM100" i="30" s="1"/>
  <c r="Q100" i="30"/>
  <c r="AK100" i="30"/>
  <c r="AL100" i="30"/>
  <c r="AV99" i="30"/>
  <c r="AH99" i="30"/>
  <c r="R99" i="30"/>
  <c r="Q99" i="30"/>
  <c r="AK99" i="30"/>
  <c r="AL99" i="30"/>
  <c r="AV98" i="30"/>
  <c r="AH98" i="30"/>
  <c r="R98" i="30"/>
  <c r="W98" i="30" s="1"/>
  <c r="AM98" i="30" s="1"/>
  <c r="Q98" i="30"/>
  <c r="AK98" i="30" s="1"/>
  <c r="AV97" i="30"/>
  <c r="AH97" i="30"/>
  <c r="R97" i="30"/>
  <c r="Q97" i="30"/>
  <c r="AK97" i="30"/>
  <c r="AL97" i="30" s="1"/>
  <c r="AV96" i="30"/>
  <c r="AH96" i="30"/>
  <c r="Z96" i="30"/>
  <c r="R96" i="30"/>
  <c r="W96" i="30" s="1"/>
  <c r="AM96" i="30" s="1"/>
  <c r="Q96" i="30"/>
  <c r="AK96" i="30" s="1"/>
  <c r="AL96" i="30" s="1"/>
  <c r="AV95" i="30"/>
  <c r="AH95" i="30"/>
  <c r="Y95" i="30"/>
  <c r="R95" i="30"/>
  <c r="Q95" i="30"/>
  <c r="AK95" i="30"/>
  <c r="AL95" i="30" s="1"/>
  <c r="AV94" i="30"/>
  <c r="AH94" i="30"/>
  <c r="Y94" i="30"/>
  <c r="R94" i="30"/>
  <c r="Q94" i="30"/>
  <c r="AK94" i="30" s="1"/>
  <c r="AL94" i="30" s="1"/>
  <c r="AV93" i="30"/>
  <c r="AH93" i="30"/>
  <c r="Y93" i="30"/>
  <c r="R93" i="30"/>
  <c r="Q93" i="30"/>
  <c r="AV92" i="30"/>
  <c r="AH92" i="30"/>
  <c r="Y92" i="30"/>
  <c r="R92" i="30"/>
  <c r="Q92" i="30"/>
  <c r="AK92" i="30" s="1"/>
  <c r="AL92" i="30" s="1"/>
  <c r="AV91" i="30"/>
  <c r="AH91" i="30"/>
  <c r="Y91" i="30"/>
  <c r="R91" i="30"/>
  <c r="Q91" i="30"/>
  <c r="AK91" i="30"/>
  <c r="AL91" i="30" s="1"/>
  <c r="AV90" i="30"/>
  <c r="AH90" i="30"/>
  <c r="Y90" i="30"/>
  <c r="R90" i="30"/>
  <c r="Q90" i="30"/>
  <c r="AK90" i="30" s="1"/>
  <c r="AL90" i="30" s="1"/>
  <c r="AV89" i="30"/>
  <c r="AH89" i="30"/>
  <c r="Y89" i="30"/>
  <c r="R89" i="30"/>
  <c r="Q89" i="30"/>
  <c r="AK89" i="30"/>
  <c r="AL89" i="30"/>
  <c r="AV88" i="30"/>
  <c r="AH88" i="30"/>
  <c r="Y88" i="30"/>
  <c r="R88" i="30"/>
  <c r="Q88" i="30"/>
  <c r="AK88" i="30" s="1"/>
  <c r="AV87" i="30"/>
  <c r="AH87" i="30"/>
  <c r="Y87" i="30"/>
  <c r="R87" i="30"/>
  <c r="Q87" i="30"/>
  <c r="AK87" i="30"/>
  <c r="AL87" i="30"/>
  <c r="AV86" i="30"/>
  <c r="AH86" i="30"/>
  <c r="Y86" i="30"/>
  <c r="R86" i="30"/>
  <c r="Q86" i="30"/>
  <c r="AK86" i="30" s="1"/>
  <c r="AL86" i="30" s="1"/>
  <c r="AV85" i="30"/>
  <c r="AH85" i="30"/>
  <c r="Y85" i="30"/>
  <c r="R85" i="30"/>
  <c r="Q85" i="30"/>
  <c r="AK85" i="30"/>
  <c r="AL85" i="30"/>
  <c r="AV84" i="30"/>
  <c r="AH84" i="30"/>
  <c r="Y84" i="30"/>
  <c r="R84" i="30"/>
  <c r="Q84" i="30"/>
  <c r="AK84" i="30" s="1"/>
  <c r="AL84" i="30" s="1"/>
  <c r="AV83" i="30"/>
  <c r="AH83" i="30"/>
  <c r="Y83" i="30"/>
  <c r="R83" i="30"/>
  <c r="Q83" i="30"/>
  <c r="AV82" i="30"/>
  <c r="AH82" i="30"/>
  <c r="Y82" i="30"/>
  <c r="R82" i="30"/>
  <c r="W82" i="30" s="1"/>
  <c r="AM82" i="30" s="1"/>
  <c r="Q82" i="30"/>
  <c r="AK82" i="30"/>
  <c r="AL82" i="30"/>
  <c r="AV81" i="30"/>
  <c r="AH81" i="30"/>
  <c r="Y81" i="30"/>
  <c r="R81" i="30"/>
  <c r="Q81" i="30"/>
  <c r="AK81" i="30"/>
  <c r="AL81" i="30" s="1"/>
  <c r="AV80" i="30"/>
  <c r="AH80" i="30"/>
  <c r="Y80" i="30"/>
  <c r="R80" i="30"/>
  <c r="Q80" i="30"/>
  <c r="AK80" i="30" s="1"/>
  <c r="AL80" i="30" s="1"/>
  <c r="AV79" i="30"/>
  <c r="AH79" i="30"/>
  <c r="R79" i="30"/>
  <c r="W79" i="30" s="1"/>
  <c r="Q79" i="30"/>
  <c r="AK79" i="30"/>
  <c r="AL79" i="30"/>
  <c r="AV78" i="30"/>
  <c r="AH78" i="30"/>
  <c r="R78" i="30"/>
  <c r="Q78" i="30"/>
  <c r="AV77" i="30"/>
  <c r="AH77" i="30"/>
  <c r="R77" i="30"/>
  <c r="W77" i="30" s="1"/>
  <c r="AM77" i="30" s="1"/>
  <c r="Q77" i="30"/>
  <c r="AK77" i="30"/>
  <c r="AL77" i="30" s="1"/>
  <c r="AV76" i="30"/>
  <c r="AH76" i="30"/>
  <c r="R76" i="30"/>
  <c r="Q76" i="30"/>
  <c r="AV75" i="30"/>
  <c r="AH75" i="30"/>
  <c r="R75" i="30"/>
  <c r="Q75" i="30"/>
  <c r="AK75" i="30"/>
  <c r="AL75" i="30" s="1"/>
  <c r="AV74" i="30"/>
  <c r="AH74" i="30"/>
  <c r="R74" i="30"/>
  <c r="Q74" i="30"/>
  <c r="AK74" i="30"/>
  <c r="AL74" i="30" s="1"/>
  <c r="AV73" i="30"/>
  <c r="AH73" i="30"/>
  <c r="R73" i="30"/>
  <c r="W73" i="30" s="1"/>
  <c r="AM73" i="30" s="1"/>
  <c r="Q73" i="30"/>
  <c r="AK73" i="30"/>
  <c r="AL73" i="30" s="1"/>
  <c r="AV72" i="30"/>
  <c r="AH72" i="30"/>
  <c r="R72" i="30"/>
  <c r="W72" i="30" s="1"/>
  <c r="AM72" i="30" s="1"/>
  <c r="Q72" i="30"/>
  <c r="AK72" i="30" s="1"/>
  <c r="AL72" i="30" s="1"/>
  <c r="AV71" i="30"/>
  <c r="AH71" i="30"/>
  <c r="R71" i="30"/>
  <c r="Q71" i="30"/>
  <c r="AK71" i="30"/>
  <c r="AL71" i="30" s="1"/>
  <c r="AV70" i="30"/>
  <c r="AH70" i="30"/>
  <c r="R70" i="30"/>
  <c r="Q70" i="30"/>
  <c r="AK70" i="30" s="1"/>
  <c r="AL70" i="30" s="1"/>
  <c r="AV69" i="30"/>
  <c r="AH69" i="30"/>
  <c r="R69" i="30"/>
  <c r="Q69" i="30"/>
  <c r="AK69" i="30" s="1"/>
  <c r="AL69" i="30" s="1"/>
  <c r="AV68" i="30"/>
  <c r="AH68" i="30"/>
  <c r="R68" i="30"/>
  <c r="Q68" i="30"/>
  <c r="AK68" i="30" s="1"/>
  <c r="AL68" i="30" s="1"/>
  <c r="AV67" i="30"/>
  <c r="AH67" i="30"/>
  <c r="R67" i="30"/>
  <c r="Q67" i="30"/>
  <c r="AK67" i="30"/>
  <c r="AL67" i="30"/>
  <c r="AV66" i="30"/>
  <c r="AH66" i="30"/>
  <c r="R66" i="30"/>
  <c r="W66" i="30" s="1"/>
  <c r="AM66" i="30" s="1"/>
  <c r="Q66" i="30"/>
  <c r="AK66" i="30"/>
  <c r="AL66" i="30" s="1"/>
  <c r="AV65" i="30"/>
  <c r="AH65" i="30"/>
  <c r="R65" i="30"/>
  <c r="W65" i="30" s="1"/>
  <c r="Q65" i="30"/>
  <c r="AK65" i="30"/>
  <c r="AL65" i="30"/>
  <c r="AV64" i="30"/>
  <c r="AH64" i="30"/>
  <c r="R64" i="30"/>
  <c r="Q64" i="30"/>
  <c r="AK64" i="30"/>
  <c r="AL64" i="30" s="1"/>
  <c r="AV63" i="30"/>
  <c r="AH63" i="30"/>
  <c r="R63" i="30"/>
  <c r="W63" i="30" s="1"/>
  <c r="AM63" i="30" s="1"/>
  <c r="Q63" i="30"/>
  <c r="AK63" i="30"/>
  <c r="AL63" i="30"/>
  <c r="AV62" i="30"/>
  <c r="AH62" i="30"/>
  <c r="R62" i="30"/>
  <c r="W62" i="30" s="1"/>
  <c r="Q62" i="30"/>
  <c r="AV61" i="30"/>
  <c r="AH61" i="30"/>
  <c r="R61" i="30"/>
  <c r="W61" i="30" s="1"/>
  <c r="Q61" i="30"/>
  <c r="AK61" i="30"/>
  <c r="AL61" i="30" s="1"/>
  <c r="AV60" i="30"/>
  <c r="AH60" i="30"/>
  <c r="R60" i="30"/>
  <c r="W60" i="30" s="1"/>
  <c r="AM60" i="30" s="1"/>
  <c r="Q60" i="30"/>
  <c r="AK60" i="30" s="1"/>
  <c r="AL60" i="30" s="1"/>
  <c r="AV59" i="30"/>
  <c r="AH59" i="30"/>
  <c r="R59" i="30"/>
  <c r="Q59" i="30"/>
  <c r="AK59" i="30" s="1"/>
  <c r="AL59" i="30" s="1"/>
  <c r="AV58" i="30"/>
  <c r="AH58" i="30"/>
  <c r="R58" i="30"/>
  <c r="Q58" i="30"/>
  <c r="AK58" i="30" s="1"/>
  <c r="AL58" i="30" s="1"/>
  <c r="AV57" i="30"/>
  <c r="AH57" i="30"/>
  <c r="R57" i="30"/>
  <c r="Q57" i="30"/>
  <c r="AK57" i="30"/>
  <c r="AL57" i="30" s="1"/>
  <c r="AV56" i="30"/>
  <c r="AH56" i="30"/>
  <c r="R56" i="30"/>
  <c r="Q56" i="30"/>
  <c r="AV55" i="30"/>
  <c r="AH55" i="30"/>
  <c r="R55" i="30"/>
  <c r="Q55" i="30"/>
  <c r="AK55" i="30"/>
  <c r="AL55" i="30"/>
  <c r="AV54" i="30"/>
  <c r="AH54" i="30"/>
  <c r="R54" i="30"/>
  <c r="Q54" i="30"/>
  <c r="AV53" i="30"/>
  <c r="AH53" i="30"/>
  <c r="R53" i="30"/>
  <c r="Q53" i="30"/>
  <c r="AK53" i="30"/>
  <c r="AL53" i="30" s="1"/>
  <c r="AV52" i="30"/>
  <c r="AH52" i="30"/>
  <c r="R52" i="30"/>
  <c r="Q52" i="30"/>
  <c r="AK52" i="30" s="1"/>
  <c r="AL52" i="30" s="1"/>
  <c r="AV51" i="30"/>
  <c r="AH51" i="30"/>
  <c r="R51" i="30"/>
  <c r="Q51" i="30"/>
  <c r="AK51" i="30"/>
  <c r="AL51" i="30" s="1"/>
  <c r="AV50" i="30"/>
  <c r="AH50" i="30"/>
  <c r="R50" i="30"/>
  <c r="Q50" i="30"/>
  <c r="AK50" i="30" s="1"/>
  <c r="AL50" i="30" s="1"/>
  <c r="L50" i="30"/>
  <c r="AV49" i="30"/>
  <c r="AH49" i="30"/>
  <c r="R49" i="30"/>
  <c r="W49" i="30" s="1"/>
  <c r="AM49" i="30" s="1"/>
  <c r="Q49" i="30"/>
  <c r="AV48" i="30"/>
  <c r="AH48" i="30"/>
  <c r="R48" i="30"/>
  <c r="S48" i="30" s="1"/>
  <c r="X48" i="30" s="1"/>
  <c r="Q48" i="30"/>
  <c r="AK48" i="30" s="1"/>
  <c r="AL48" i="30" s="1"/>
  <c r="L48" i="30"/>
  <c r="K48" i="30" s="1"/>
  <c r="AV47" i="30"/>
  <c r="AH47" i="30"/>
  <c r="R47" i="30"/>
  <c r="Q47" i="30"/>
  <c r="AK47" i="30" s="1"/>
  <c r="AL47" i="30" s="1"/>
  <c r="AV46" i="30"/>
  <c r="AH46" i="30"/>
  <c r="R46" i="30"/>
  <c r="Q46" i="30"/>
  <c r="W46" i="30" s="1"/>
  <c r="AM46" i="30" s="1"/>
  <c r="AK46" i="30"/>
  <c r="AL46" i="30" s="1"/>
  <c r="AV45" i="30"/>
  <c r="AH45" i="30"/>
  <c r="R45" i="30"/>
  <c r="Q45" i="30"/>
  <c r="AK45" i="30"/>
  <c r="AL45" i="30" s="1"/>
  <c r="L45" i="30"/>
  <c r="AV44" i="30"/>
  <c r="AH44" i="30"/>
  <c r="R44" i="30"/>
  <c r="Q44" i="30"/>
  <c r="AK44" i="30"/>
  <c r="AL44" i="30"/>
  <c r="AV43" i="30"/>
  <c r="AH43" i="30"/>
  <c r="R43" i="30"/>
  <c r="Q43" i="30"/>
  <c r="AK43" i="30" s="1"/>
  <c r="AL43" i="30" s="1"/>
  <c r="AV42" i="30"/>
  <c r="AH42" i="30"/>
  <c r="R42" i="30"/>
  <c r="Q42" i="30"/>
  <c r="AK42" i="30"/>
  <c r="AL42" i="30"/>
  <c r="AV41" i="30"/>
  <c r="AH41" i="30"/>
  <c r="R41" i="30"/>
  <c r="Q41" i="30"/>
  <c r="AK41" i="30"/>
  <c r="AL41" i="30" s="1"/>
  <c r="AV40" i="30"/>
  <c r="AH40" i="30"/>
  <c r="R40" i="30"/>
  <c r="Q40" i="30"/>
  <c r="AK40" i="30"/>
  <c r="AL40" i="30"/>
  <c r="AV39" i="30"/>
  <c r="AH39" i="30"/>
  <c r="R39" i="30"/>
  <c r="W39" i="30" s="1"/>
  <c r="AM39" i="30" s="1"/>
  <c r="Q39" i="30"/>
  <c r="AK39" i="30"/>
  <c r="AL39" i="30" s="1"/>
  <c r="AV38" i="30"/>
  <c r="AH38" i="30"/>
  <c r="R38" i="30"/>
  <c r="Q38" i="30"/>
  <c r="AK38" i="30"/>
  <c r="AL38" i="30"/>
  <c r="AV37" i="30"/>
  <c r="AH37" i="30"/>
  <c r="R37" i="30"/>
  <c r="Q37" i="30"/>
  <c r="AK37" i="30" s="1"/>
  <c r="AL37" i="30" s="1"/>
  <c r="AV36" i="30"/>
  <c r="AH36" i="30"/>
  <c r="R36" i="30"/>
  <c r="Q36" i="30"/>
  <c r="AK36" i="30"/>
  <c r="AL36" i="30"/>
  <c r="L36" i="30"/>
  <c r="V36" i="30"/>
  <c r="AV35" i="30"/>
  <c r="AH35" i="30"/>
  <c r="R35" i="30"/>
  <c r="Q35" i="30"/>
  <c r="AK35" i="30" s="1"/>
  <c r="AL35" i="30" s="1"/>
  <c r="L35" i="30"/>
  <c r="V35" i="30" s="1"/>
  <c r="AV34" i="30"/>
  <c r="AH34" i="30"/>
  <c r="Z34" i="30"/>
  <c r="R34" i="30"/>
  <c r="W34" i="30" s="1"/>
  <c r="Q34" i="30"/>
  <c r="AK34" i="30"/>
  <c r="AL34" i="30"/>
  <c r="K34" i="30"/>
  <c r="AV33" i="30"/>
  <c r="AH33" i="30"/>
  <c r="Z33" i="30"/>
  <c r="R33" i="30"/>
  <c r="Q33" i="30"/>
  <c r="AK33" i="30"/>
  <c r="AL33" i="30" s="1"/>
  <c r="K33" i="30"/>
  <c r="AV32" i="30"/>
  <c r="AH32" i="30"/>
  <c r="Z32" i="30"/>
  <c r="R32" i="30"/>
  <c r="Q32" i="30"/>
  <c r="AV31" i="30"/>
  <c r="AH31" i="30"/>
  <c r="Z31" i="30"/>
  <c r="R31" i="30"/>
  <c r="Q31" i="30"/>
  <c r="AV30" i="30"/>
  <c r="AH30" i="30"/>
  <c r="Z30" i="30"/>
  <c r="R30" i="30"/>
  <c r="W30" i="30" s="1"/>
  <c r="AM30" i="30" s="1"/>
  <c r="Q30" i="30"/>
  <c r="AK30" i="30"/>
  <c r="AL30" i="30"/>
  <c r="AV29" i="30"/>
  <c r="AH29" i="30"/>
  <c r="Z29" i="30"/>
  <c r="R29" i="30"/>
  <c r="Q29" i="30"/>
  <c r="AV28" i="30"/>
  <c r="AH28" i="30"/>
  <c r="Z28" i="30"/>
  <c r="R28" i="30"/>
  <c r="Q28" i="30"/>
  <c r="AK28" i="30" s="1"/>
  <c r="AL28" i="30" s="1"/>
  <c r="AV27" i="30"/>
  <c r="AH27" i="30"/>
  <c r="Z27" i="30"/>
  <c r="R27" i="30"/>
  <c r="Q27" i="30"/>
  <c r="AK27" i="30" s="1"/>
  <c r="AL27" i="30" s="1"/>
  <c r="AV26" i="30"/>
  <c r="AH26" i="30"/>
  <c r="R26" i="30"/>
  <c r="Q26" i="30"/>
  <c r="AK26" i="30"/>
  <c r="AL26" i="30"/>
  <c r="AV25" i="30"/>
  <c r="AH25" i="30"/>
  <c r="R25" i="30"/>
  <c r="Q25" i="30"/>
  <c r="AK25" i="30" s="1"/>
  <c r="AL25" i="30" s="1"/>
  <c r="AV24" i="30"/>
  <c r="AH24" i="30"/>
  <c r="R24" i="30"/>
  <c r="Q24" i="30"/>
  <c r="AK24" i="30"/>
  <c r="AL24" i="30"/>
  <c r="AV23" i="30"/>
  <c r="AH23" i="30"/>
  <c r="R23" i="30"/>
  <c r="Q23" i="30"/>
  <c r="AK23" i="30" s="1"/>
  <c r="AL23" i="30" s="1"/>
  <c r="AV22" i="30"/>
  <c r="AH22" i="30"/>
  <c r="R22" i="30"/>
  <c r="Q22" i="30"/>
  <c r="AK22" i="30"/>
  <c r="AL22" i="30"/>
  <c r="AV21" i="30"/>
  <c r="AH21" i="30"/>
  <c r="R21" i="30"/>
  <c r="W21" i="30" s="1"/>
  <c r="AM21" i="30" s="1"/>
  <c r="Q21" i="30"/>
  <c r="AK21" i="30" s="1"/>
  <c r="AL21" i="30" s="1"/>
  <c r="AV20" i="30"/>
  <c r="AH20" i="30"/>
  <c r="R20" i="30"/>
  <c r="Q20" i="30"/>
  <c r="AK20" i="30"/>
  <c r="AL20" i="30"/>
  <c r="AV19" i="30"/>
  <c r="AH19" i="30"/>
  <c r="R19" i="30"/>
  <c r="Q19" i="30"/>
  <c r="AK19" i="30" s="1"/>
  <c r="AL19" i="30" s="1"/>
  <c r="AV18" i="30"/>
  <c r="AH18" i="30"/>
  <c r="R18" i="30"/>
  <c r="Q18" i="30"/>
  <c r="AK18" i="30"/>
  <c r="AL18" i="30"/>
  <c r="AV17" i="30"/>
  <c r="AH17" i="30"/>
  <c r="R17" i="30"/>
  <c r="Q17" i="30"/>
  <c r="AK17" i="30" s="1"/>
  <c r="AL17" i="30" s="1"/>
  <c r="AV16" i="30"/>
  <c r="AH16" i="30"/>
  <c r="Z16" i="30"/>
  <c r="R16" i="30"/>
  <c r="Q16" i="30"/>
  <c r="AK16" i="30"/>
  <c r="AL16" i="30" s="1"/>
  <c r="AV15" i="30"/>
  <c r="AH15" i="30"/>
  <c r="Z15" i="30"/>
  <c r="R15" i="30"/>
  <c r="W15" i="30" s="1"/>
  <c r="AM15" i="30" s="1"/>
  <c r="Q15" i="30"/>
  <c r="AK15" i="30" s="1"/>
  <c r="AL15" i="30" s="1"/>
  <c r="AV14" i="30"/>
  <c r="AH14" i="30"/>
  <c r="Z14" i="30"/>
  <c r="R14" i="30"/>
  <c r="W14" i="30" s="1"/>
  <c r="AM14" i="30" s="1"/>
  <c r="Q14" i="30"/>
  <c r="AV13" i="30"/>
  <c r="AH13" i="30"/>
  <c r="R13" i="30"/>
  <c r="Q13" i="30"/>
  <c r="AV12" i="30"/>
  <c r="AH12" i="30"/>
  <c r="R12" i="30"/>
  <c r="Q12" i="30"/>
  <c r="AK12" i="30" s="1"/>
  <c r="AL12" i="30" s="1"/>
  <c r="L12" i="30"/>
  <c r="F10" i="30"/>
  <c r="C10" i="30"/>
  <c r="K9" i="30"/>
  <c r="K8" i="30"/>
  <c r="K35" i="30"/>
  <c r="V48" i="30"/>
  <c r="W74" i="30"/>
  <c r="AM74" i="30"/>
  <c r="W80" i="30"/>
  <c r="AM80" i="30" s="1"/>
  <c r="K36" i="30"/>
  <c r="AM79" i="30"/>
  <c r="AM125" i="30"/>
  <c r="W25" i="30"/>
  <c r="AM25" i="30" s="1"/>
  <c r="AM115" i="30"/>
  <c r="W26" i="30"/>
  <c r="AM26" i="30"/>
  <c r="W45" i="30"/>
  <c r="AM45" i="30" s="1"/>
  <c r="W114" i="30"/>
  <c r="AM114" i="30"/>
  <c r="W33" i="30"/>
  <c r="AM33" i="30"/>
  <c r="W36" i="30"/>
  <c r="AM36" i="30" s="1"/>
  <c r="W58" i="30"/>
  <c r="AM58" i="30" s="1"/>
  <c r="AM108" i="30"/>
  <c r="W28" i="30"/>
  <c r="AM28" i="30"/>
  <c r="W50" i="30"/>
  <c r="AM50" i="30" s="1"/>
  <c r="W18" i="30"/>
  <c r="AM18" i="30"/>
  <c r="W95" i="30"/>
  <c r="AM95" i="30" s="1"/>
  <c r="W99" i="30"/>
  <c r="AM99" i="30"/>
  <c r="W112" i="30"/>
  <c r="AM112" i="30" s="1"/>
  <c r="W44" i="30"/>
  <c r="AM44" i="30"/>
  <c r="W22" i="30"/>
  <c r="AM22" i="30"/>
  <c r="W38" i="30"/>
  <c r="AM38" i="30"/>
  <c r="W85" i="30"/>
  <c r="AM85" i="30"/>
  <c r="W87" i="30"/>
  <c r="AM87" i="30"/>
  <c r="W12" i="30"/>
  <c r="AM12" i="30"/>
  <c r="AM65" i="30"/>
  <c r="W117" i="30"/>
  <c r="AM117" i="30"/>
  <c r="W13" i="30"/>
  <c r="AM13" i="30" s="1"/>
  <c r="AM34" i="30"/>
  <c r="W101" i="30"/>
  <c r="AM101" i="30" s="1"/>
  <c r="W119" i="30"/>
  <c r="AM119" i="30"/>
  <c r="AK14" i="30"/>
  <c r="AL14" i="30"/>
  <c r="W105" i="30"/>
  <c r="AM105" i="30"/>
  <c r="W121" i="30"/>
  <c r="AM121" i="30"/>
  <c r="W55" i="30"/>
  <c r="AM55" i="30" s="1"/>
  <c r="S114" i="30"/>
  <c r="X114" i="30" s="1"/>
  <c r="W20" i="30"/>
  <c r="AM20" i="30"/>
  <c r="W81" i="30"/>
  <c r="AM81" i="30"/>
  <c r="W71" i="30"/>
  <c r="AM71" i="30"/>
  <c r="W89" i="30"/>
  <c r="AM89" i="30"/>
  <c r="W118" i="30"/>
  <c r="AM118" i="30"/>
  <c r="W124" i="30"/>
  <c r="AM124" i="30"/>
  <c r="W69" i="30"/>
  <c r="AM69" i="30"/>
  <c r="AK76" i="30"/>
  <c r="AL76" i="30"/>
  <c r="AK13" i="30"/>
  <c r="AL13" i="30"/>
  <c r="W24" i="30"/>
  <c r="AM24" i="30"/>
  <c r="S36" i="30"/>
  <c r="W40" i="30"/>
  <c r="AM40" i="30"/>
  <c r="AK56" i="30"/>
  <c r="AL56" i="30"/>
  <c r="W56" i="30"/>
  <c r="AM56" i="30" s="1"/>
  <c r="W16" i="30"/>
  <c r="AM16" i="30"/>
  <c r="W42" i="30"/>
  <c r="AM42" i="30" s="1"/>
  <c r="AK32" i="30"/>
  <c r="AL32" i="30"/>
  <c r="W78" i="30"/>
  <c r="AM78" i="30"/>
  <c r="AK78" i="30"/>
  <c r="AL78" i="30"/>
  <c r="W86" i="30"/>
  <c r="AM86" i="30"/>
  <c r="W91" i="30"/>
  <c r="AM91" i="30"/>
  <c r="W97" i="30"/>
  <c r="AM97" i="30" s="1"/>
  <c r="W51" i="30"/>
  <c r="AM51" i="30"/>
  <c r="W67" i="30"/>
  <c r="AM67" i="30"/>
  <c r="W75" i="30"/>
  <c r="AM75" i="30"/>
  <c r="AM61" i="30"/>
  <c r="AM62" i="30"/>
  <c r="AK62" i="30"/>
  <c r="AL62" i="30" s="1"/>
  <c r="W53" i="30"/>
  <c r="AM53" i="30"/>
  <c r="AK54" i="30"/>
  <c r="AL54" i="30"/>
  <c r="AL98" i="30"/>
  <c r="W110" i="30"/>
  <c r="AM110" i="30" s="1"/>
  <c r="AL88" i="30"/>
  <c r="W103" i="30"/>
  <c r="AM103" i="30"/>
  <c r="AK103" i="30"/>
  <c r="AL103" i="30"/>
  <c r="AK122" i="30"/>
  <c r="AL122" i="30" s="1"/>
  <c r="AK93" i="30"/>
  <c r="AL93" i="30" s="1"/>
  <c r="W93" i="30"/>
  <c r="AM93" i="30"/>
  <c r="W111" i="30"/>
  <c r="AM111" i="30"/>
  <c r="AK111" i="30"/>
  <c r="AL111" i="30" s="1"/>
  <c r="AK121" i="30"/>
  <c r="AL121" i="30"/>
  <c r="AK105" i="30"/>
  <c r="AL105" i="30" s="1"/>
  <c r="AK113" i="30"/>
  <c r="AL113" i="30" s="1"/>
  <c r="AK117" i="30"/>
  <c r="AL117" i="30" s="1"/>
  <c r="AK115" i="30"/>
  <c r="AL115" i="30" s="1"/>
  <c r="AK107" i="30"/>
  <c r="AL107" i="30" s="1"/>
  <c r="AK114" i="30"/>
  <c r="AL114" i="30" s="1"/>
  <c r="C40" i="27"/>
  <c r="D24" i="27"/>
  <c r="D30" i="27"/>
  <c r="D6" i="27" s="1"/>
  <c r="F24" i="27"/>
  <c r="F30" i="27"/>
  <c r="D7" i="27"/>
  <c r="C7" i="27"/>
  <c r="C6" i="27"/>
  <c r="C5" i="27"/>
  <c r="D4" i="27"/>
  <c r="C4" i="27"/>
  <c r="D3" i="27"/>
  <c r="C3" i="27"/>
  <c r="C8" i="27" s="1"/>
  <c r="E40" i="27"/>
  <c r="F7" i="27"/>
  <c r="E7" i="27"/>
  <c r="F6" i="27"/>
  <c r="E6" i="27"/>
  <c r="E5" i="27"/>
  <c r="F4" i="27"/>
  <c r="E4" i="27"/>
  <c r="F3" i="27"/>
  <c r="E3" i="27"/>
  <c r="E8" i="27" s="1"/>
  <c r="K10" i="24"/>
  <c r="K9" i="24" s="1"/>
  <c r="H7" i="27"/>
  <c r="G7" i="27"/>
  <c r="H6" i="27"/>
  <c r="H8" i="27" s="1"/>
  <c r="G6" i="27"/>
  <c r="H5" i="27"/>
  <c r="Q5" i="27" s="1"/>
  <c r="R5" i="27" s="1"/>
  <c r="G5" i="27"/>
  <c r="H4" i="27"/>
  <c r="G4" i="27"/>
  <c r="P4" i="27" s="1"/>
  <c r="H3" i="27"/>
  <c r="G3" i="27"/>
  <c r="H40" i="27"/>
  <c r="N40" i="27"/>
  <c r="M40" i="27"/>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7" i="24"/>
  <c r="AF26" i="24"/>
  <c r="AF24" i="24"/>
  <c r="AF23" i="24"/>
  <c r="AF22" i="24"/>
  <c r="AF21" i="24"/>
  <c r="AF20" i="24"/>
  <c r="AF19" i="24"/>
  <c r="AF18" i="24"/>
  <c r="AI114" i="24"/>
  <c r="AJ114" i="24" s="1"/>
  <c r="AI113" i="24"/>
  <c r="AJ113" i="24" s="1"/>
  <c r="AI112" i="24"/>
  <c r="AJ112" i="24" s="1"/>
  <c r="AI111" i="24"/>
  <c r="AJ111" i="24" s="1"/>
  <c r="AI110" i="24"/>
  <c r="AJ110" i="24" s="1"/>
  <c r="AI109" i="24"/>
  <c r="AJ109" i="24" s="1"/>
  <c r="AI108" i="24"/>
  <c r="AJ108" i="24" s="1"/>
  <c r="AI107" i="24"/>
  <c r="AJ107" i="24" s="1"/>
  <c r="AI106" i="24"/>
  <c r="AJ106" i="24" s="1"/>
  <c r="AI105" i="24"/>
  <c r="AJ105" i="24" s="1"/>
  <c r="AI104" i="24"/>
  <c r="AJ104" i="24" s="1"/>
  <c r="AJ103" i="24"/>
  <c r="AI102" i="24"/>
  <c r="AJ102" i="24" s="1"/>
  <c r="AI101" i="24"/>
  <c r="AJ101" i="24" s="1"/>
  <c r="AI100" i="24"/>
  <c r="AJ100" i="24" s="1"/>
  <c r="AI99" i="24"/>
  <c r="AJ99" i="24" s="1"/>
  <c r="AI98" i="24"/>
  <c r="AJ98" i="24" s="1"/>
  <c r="AI97" i="24"/>
  <c r="AJ97" i="24" s="1"/>
  <c r="AI96" i="24"/>
  <c r="AJ96" i="24" s="1"/>
  <c r="AI95" i="24"/>
  <c r="AJ95" i="24" s="1"/>
  <c r="AI94" i="24"/>
  <c r="AJ94" i="24" s="1"/>
  <c r="AI93" i="24"/>
  <c r="AJ93" i="24" s="1"/>
  <c r="AI92" i="24"/>
  <c r="AJ92" i="24" s="1"/>
  <c r="AI91" i="24"/>
  <c r="AJ91" i="24" s="1"/>
  <c r="AI90" i="24"/>
  <c r="AJ90" i="24" s="1"/>
  <c r="AI89" i="24"/>
  <c r="AJ89" i="24" s="1"/>
  <c r="AI88" i="24"/>
  <c r="AJ88" i="24" s="1"/>
  <c r="AI87" i="24"/>
  <c r="AJ87" i="24" s="1"/>
  <c r="AI86" i="24"/>
  <c r="AJ86" i="24" s="1"/>
  <c r="AI85" i="24"/>
  <c r="AJ85" i="24" s="1"/>
  <c r="AI84" i="24"/>
  <c r="AJ84" i="24" s="1"/>
  <c r="AI83" i="24"/>
  <c r="AJ83" i="24" s="1"/>
  <c r="AI82" i="24"/>
  <c r="AJ82" i="24" s="1"/>
  <c r="AI81" i="24"/>
  <c r="AJ81" i="24" s="1"/>
  <c r="AI80" i="24"/>
  <c r="AJ80" i="24" s="1"/>
  <c r="AI79" i="24"/>
  <c r="AJ79" i="24" s="1"/>
  <c r="AI78" i="24"/>
  <c r="AJ78" i="24" s="1"/>
  <c r="AI77" i="24"/>
  <c r="AJ77" i="24" s="1"/>
  <c r="AI76" i="24"/>
  <c r="AJ76" i="24" s="1"/>
  <c r="AI75" i="24"/>
  <c r="AJ75" i="24" s="1"/>
  <c r="AI74" i="24"/>
  <c r="AJ74" i="24" s="1"/>
  <c r="AI73" i="24"/>
  <c r="AJ73" i="24" s="1"/>
  <c r="AI72" i="24"/>
  <c r="AJ72" i="24" s="1"/>
  <c r="AI71" i="24"/>
  <c r="AJ71" i="24" s="1"/>
  <c r="AI70" i="24"/>
  <c r="AJ70" i="24" s="1"/>
  <c r="AI69" i="24"/>
  <c r="AJ69" i="24" s="1"/>
  <c r="AI68" i="24"/>
  <c r="AJ68" i="24" s="1"/>
  <c r="AI67" i="24"/>
  <c r="AJ67" i="24" s="1"/>
  <c r="AI66" i="24"/>
  <c r="AJ66" i="24" s="1"/>
  <c r="AI65" i="24"/>
  <c r="AJ65" i="24" s="1"/>
  <c r="AI64" i="24"/>
  <c r="AJ64" i="24" s="1"/>
  <c r="AI63" i="24"/>
  <c r="AJ63" i="24" s="1"/>
  <c r="AI62" i="24"/>
  <c r="AJ62" i="24" s="1"/>
  <c r="AI61" i="24"/>
  <c r="AJ61" i="24" s="1"/>
  <c r="AI60" i="24"/>
  <c r="AJ60" i="24" s="1"/>
  <c r="AI59" i="24"/>
  <c r="AJ59" i="24" s="1"/>
  <c r="AI58" i="24"/>
  <c r="AJ58" i="24" s="1"/>
  <c r="AI57" i="24"/>
  <c r="AJ57" i="24" s="1"/>
  <c r="AI56" i="24"/>
  <c r="AJ56" i="24" s="1"/>
  <c r="AI55" i="24"/>
  <c r="AJ55" i="24" s="1"/>
  <c r="AI54" i="24"/>
  <c r="AJ54" i="24" s="1"/>
  <c r="AI53" i="24"/>
  <c r="AJ53" i="24" s="1"/>
  <c r="AI52" i="24"/>
  <c r="AJ52" i="24" s="1"/>
  <c r="AI51" i="24"/>
  <c r="AJ51" i="24" s="1"/>
  <c r="AI50" i="24"/>
  <c r="AJ50" i="24" s="1"/>
  <c r="AI49" i="24"/>
  <c r="AJ49" i="24" s="1"/>
  <c r="AI48" i="24"/>
  <c r="AJ48" i="24" s="1"/>
  <c r="AI47" i="24"/>
  <c r="AJ47" i="24" s="1"/>
  <c r="AI46" i="24"/>
  <c r="AJ46" i="24" s="1"/>
  <c r="AI45" i="24"/>
  <c r="AJ45" i="24" s="1"/>
  <c r="AJ44" i="24"/>
  <c r="AI43" i="24"/>
  <c r="AJ43" i="24" s="1"/>
  <c r="AI42" i="24"/>
  <c r="AJ42" i="24" s="1"/>
  <c r="AI41" i="24"/>
  <c r="AJ41" i="24" s="1"/>
  <c r="AI40" i="24"/>
  <c r="AJ40" i="24" s="1"/>
  <c r="AI39" i="24"/>
  <c r="AJ39" i="24" s="1"/>
  <c r="AI38" i="24"/>
  <c r="AJ38" i="24" s="1"/>
  <c r="AI37" i="24"/>
  <c r="AJ37" i="24" s="1"/>
  <c r="AI36" i="24"/>
  <c r="AJ36" i="24" s="1"/>
  <c r="AI35" i="24"/>
  <c r="AJ35" i="24" s="1"/>
  <c r="AI34" i="24"/>
  <c r="AJ34" i="24" s="1"/>
  <c r="AI33" i="24"/>
  <c r="AJ33" i="24" s="1"/>
  <c r="AI32" i="24"/>
  <c r="AJ32" i="24" s="1"/>
  <c r="AI31" i="24"/>
  <c r="AJ31" i="24" s="1"/>
  <c r="AI30" i="24"/>
  <c r="AJ30" i="24" s="1"/>
  <c r="AI27" i="24"/>
  <c r="AJ27" i="24" s="1"/>
  <c r="AI26" i="24"/>
  <c r="AJ26" i="24" s="1"/>
  <c r="AI24" i="24"/>
  <c r="AJ24" i="24" s="1"/>
  <c r="AI23" i="24"/>
  <c r="AJ23" i="24" s="1"/>
  <c r="AI22" i="24"/>
  <c r="AJ22" i="24" s="1"/>
  <c r="AI21" i="24"/>
  <c r="AJ21" i="24" s="1"/>
  <c r="AI20" i="24"/>
  <c r="AJ20" i="24" s="1"/>
  <c r="AI19" i="24"/>
  <c r="AJ19" i="24" s="1"/>
  <c r="AI18" i="24"/>
  <c r="AJ18" i="24" s="1"/>
  <c r="AI16" i="24"/>
  <c r="AJ16" i="24" s="1"/>
  <c r="AT27" i="24"/>
  <c r="AT26" i="24"/>
  <c r="J93" i="24"/>
  <c r="K93" i="24" s="1"/>
  <c r="L42" i="24"/>
  <c r="K42" i="24" s="1"/>
  <c r="K41" i="24"/>
  <c r="L38" i="24"/>
  <c r="L31" i="24"/>
  <c r="K31" i="24" s="1"/>
  <c r="L30" i="24"/>
  <c r="T30" i="24" s="1"/>
  <c r="U107" i="24"/>
  <c r="AK107" i="24" s="1"/>
  <c r="L107" i="24"/>
  <c r="AK106" i="24"/>
  <c r="X107" i="24"/>
  <c r="AN107" i="24"/>
  <c r="AO107" i="24" s="1"/>
  <c r="H1" i="29"/>
  <c r="G13" i="29"/>
  <c r="G12" i="29"/>
  <c r="G11" i="29"/>
  <c r="G10" i="29"/>
  <c r="G9" i="29"/>
  <c r="G8" i="29"/>
  <c r="G7" i="29"/>
  <c r="G6" i="29"/>
  <c r="G5" i="29"/>
  <c r="G4" i="29"/>
  <c r="G3" i="29"/>
  <c r="K7" i="27"/>
  <c r="J7" i="27"/>
  <c r="J6" i="27"/>
  <c r="J5" i="27"/>
  <c r="J4" i="27"/>
  <c r="J3" i="27"/>
  <c r="J8" i="27" s="1"/>
  <c r="N7" i="27"/>
  <c r="Q7" i="27" s="1"/>
  <c r="R7" i="27" s="1"/>
  <c r="M7" i="27"/>
  <c r="N6" i="27"/>
  <c r="M6" i="27"/>
  <c r="P6" i="27" s="1"/>
  <c r="N5" i="27"/>
  <c r="M5" i="27"/>
  <c r="N4" i="27"/>
  <c r="M4" i="27"/>
  <c r="N3" i="27"/>
  <c r="M3" i="27"/>
  <c r="K5" i="27"/>
  <c r="K6" i="27"/>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AF146"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R101" i="28"/>
  <c r="R3"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6" i="28"/>
  <c r="K4" i="28"/>
  <c r="AE101" i="28"/>
  <c r="AE3" i="28"/>
  <c r="AF101" i="28"/>
  <c r="AF3" i="28"/>
  <c r="J105" i="24"/>
  <c r="L105" i="24" s="1"/>
  <c r="K105" i="24" s="1"/>
  <c r="F11" i="24"/>
  <c r="C11" i="24"/>
  <c r="J26" i="7"/>
  <c r="F26" i="7"/>
  <c r="D26" i="7"/>
  <c r="J30" i="7"/>
  <c r="F30" i="7"/>
  <c r="D30" i="7"/>
  <c r="J29" i="7"/>
  <c r="F29" i="7"/>
  <c r="D29" i="7"/>
  <c r="G40" i="27"/>
  <c r="Q39" i="27"/>
  <c r="R39" i="27" s="1"/>
  <c r="Q38" i="27"/>
  <c r="R38" i="27" s="1"/>
  <c r="Q37" i="27"/>
  <c r="R37" i="27"/>
  <c r="Q36" i="27"/>
  <c r="R36" i="27" s="1"/>
  <c r="Q35" i="27"/>
  <c r="R35" i="27"/>
  <c r="Q34" i="27"/>
  <c r="R34" i="27"/>
  <c r="Q33" i="27"/>
  <c r="R33" i="27" s="1"/>
  <c r="Q32" i="27"/>
  <c r="R32" i="27" s="1"/>
  <c r="Q31" i="27"/>
  <c r="R31" i="27"/>
  <c r="Q30" i="27"/>
  <c r="R30" i="27" s="1"/>
  <c r="Q29" i="27"/>
  <c r="R29" i="27"/>
  <c r="Q28" i="27"/>
  <c r="R28" i="27" s="1"/>
  <c r="Q27" i="27"/>
  <c r="R27" i="27" s="1"/>
  <c r="Q26" i="27"/>
  <c r="R26" i="27" s="1"/>
  <c r="Q25" i="27"/>
  <c r="Q24" i="27"/>
  <c r="R24" i="27"/>
  <c r="Q23" i="27"/>
  <c r="R23" i="27"/>
  <c r="Q22" i="27"/>
  <c r="R22" i="27"/>
  <c r="Q21" i="27"/>
  <c r="R21" i="27"/>
  <c r="Q20" i="27"/>
  <c r="R20" i="27"/>
  <c r="Q19" i="27"/>
  <c r="R19" i="27" s="1"/>
  <c r="Q18" i="27"/>
  <c r="R18" i="27"/>
  <c r="Q17" i="27"/>
  <c r="R17" i="27"/>
  <c r="Q16" i="27"/>
  <c r="R16" i="27"/>
  <c r="Q15" i="27"/>
  <c r="R15" i="27"/>
  <c r="Q14" i="27"/>
  <c r="R14" i="27"/>
  <c r="Q13" i="27"/>
  <c r="R13" i="27" s="1"/>
  <c r="Q12" i="27"/>
  <c r="R12" i="27"/>
  <c r="P5" i="27"/>
  <c r="Q4" i="27"/>
  <c r="R4" i="27"/>
  <c r="Q3" i="27"/>
  <c r="P3" i="27"/>
  <c r="W113" i="24"/>
  <c r="W110" i="24"/>
  <c r="W109" i="24"/>
  <c r="W80" i="24"/>
  <c r="W87" i="24"/>
  <c r="W86" i="24"/>
  <c r="W85" i="24"/>
  <c r="W84" i="24"/>
  <c r="W83" i="24"/>
  <c r="W82" i="24"/>
  <c r="W81" i="24"/>
  <c r="W79" i="24"/>
  <c r="W78" i="24"/>
  <c r="W77" i="24"/>
  <c r="W76" i="24"/>
  <c r="W75" i="24"/>
  <c r="W74" i="24"/>
  <c r="W73" i="24"/>
  <c r="W72" i="24"/>
  <c r="R25" i="27"/>
  <c r="U31" i="24"/>
  <c r="AK31" i="24" s="1"/>
  <c r="AT31" i="24"/>
  <c r="U114" i="24"/>
  <c r="AK114" i="24" s="1"/>
  <c r="U113" i="24"/>
  <c r="AK113" i="24" s="1"/>
  <c r="U112" i="24"/>
  <c r="AK112" i="24" s="1"/>
  <c r="U111" i="24"/>
  <c r="AK111" i="24" s="1"/>
  <c r="U110" i="24"/>
  <c r="AK110" i="24" s="1"/>
  <c r="U109" i="24"/>
  <c r="AK109" i="24" s="1"/>
  <c r="U108" i="24"/>
  <c r="AK108" i="24" s="1"/>
  <c r="U105" i="24"/>
  <c r="AK105" i="24" s="1"/>
  <c r="U104" i="24"/>
  <c r="AK104" i="24" s="1"/>
  <c r="AK103" i="24"/>
  <c r="U102" i="24"/>
  <c r="AK102" i="24" s="1"/>
  <c r="U101" i="24"/>
  <c r="AK101" i="24" s="1"/>
  <c r="U100" i="24"/>
  <c r="AK100" i="24" s="1"/>
  <c r="U99" i="24"/>
  <c r="AK99" i="24" s="1"/>
  <c r="U98" i="24"/>
  <c r="AK98" i="24" s="1"/>
  <c r="U97" i="24"/>
  <c r="AK97" i="24" s="1"/>
  <c r="U95" i="24"/>
  <c r="AK95" i="24" s="1"/>
  <c r="U93" i="24"/>
  <c r="AK93" i="24" s="1"/>
  <c r="U92" i="24"/>
  <c r="AK92" i="24" s="1"/>
  <c r="U91" i="24"/>
  <c r="AK91" i="24" s="1"/>
  <c r="U90" i="24"/>
  <c r="AK90" i="24" s="1"/>
  <c r="U89" i="24"/>
  <c r="AK89" i="24" s="1"/>
  <c r="U88" i="24"/>
  <c r="AK88" i="24" s="1"/>
  <c r="U87" i="24"/>
  <c r="AK87" i="24" s="1"/>
  <c r="U86" i="24"/>
  <c r="AK86" i="24" s="1"/>
  <c r="U85" i="24"/>
  <c r="AK85" i="24" s="1"/>
  <c r="U84" i="24"/>
  <c r="AK84" i="24" s="1"/>
  <c r="U83" i="24"/>
  <c r="AK83" i="24" s="1"/>
  <c r="U82" i="24"/>
  <c r="AK82" i="24" s="1"/>
  <c r="U81" i="24"/>
  <c r="AK81" i="24" s="1"/>
  <c r="U80" i="24"/>
  <c r="AK80" i="24" s="1"/>
  <c r="U79" i="24"/>
  <c r="AK79" i="24" s="1"/>
  <c r="U78" i="24"/>
  <c r="AK78" i="24" s="1"/>
  <c r="U77" i="24"/>
  <c r="AK77" i="24" s="1"/>
  <c r="U76" i="24"/>
  <c r="AK76" i="24" s="1"/>
  <c r="U75" i="24"/>
  <c r="AK75" i="24" s="1"/>
  <c r="U74" i="24"/>
  <c r="AK74" i="24" s="1"/>
  <c r="U73" i="24"/>
  <c r="AK73" i="24" s="1"/>
  <c r="U72" i="24"/>
  <c r="AK72" i="24" s="1"/>
  <c r="U71" i="24"/>
  <c r="AK71" i="24" s="1"/>
  <c r="U70" i="24"/>
  <c r="AK70" i="24" s="1"/>
  <c r="U69" i="24"/>
  <c r="AK69" i="24" s="1"/>
  <c r="U68" i="24"/>
  <c r="AK68" i="24" s="1"/>
  <c r="U67" i="24"/>
  <c r="AK67" i="24" s="1"/>
  <c r="U66" i="24"/>
  <c r="AK66" i="24" s="1"/>
  <c r="U65" i="24"/>
  <c r="AK65" i="24" s="1"/>
  <c r="U64" i="24"/>
  <c r="AK64" i="24" s="1"/>
  <c r="U62" i="24"/>
  <c r="AK62" i="24" s="1"/>
  <c r="U61" i="24"/>
  <c r="AK61" i="24" s="1"/>
  <c r="U60" i="24"/>
  <c r="AK60" i="24" s="1"/>
  <c r="U59" i="24"/>
  <c r="AK59" i="24" s="1"/>
  <c r="U58" i="24"/>
  <c r="AK58" i="24" s="1"/>
  <c r="U57" i="24"/>
  <c r="AK57" i="24" s="1"/>
  <c r="U56" i="24"/>
  <c r="AK56" i="24" s="1"/>
  <c r="U55" i="24"/>
  <c r="AK55" i="24" s="1"/>
  <c r="U54" i="24"/>
  <c r="AK54" i="24" s="1"/>
  <c r="U53" i="24"/>
  <c r="AK53" i="24" s="1"/>
  <c r="U52" i="24"/>
  <c r="AK52" i="24" s="1"/>
  <c r="U51" i="24"/>
  <c r="AK51" i="24" s="1"/>
  <c r="U50" i="24"/>
  <c r="AK50" i="24" s="1"/>
  <c r="U49" i="24"/>
  <c r="AK49" i="24" s="1"/>
  <c r="U48" i="24"/>
  <c r="AK48" i="24" s="1"/>
  <c r="U47" i="24"/>
  <c r="AK47" i="24" s="1"/>
  <c r="U46" i="24"/>
  <c r="AK46" i="24" s="1"/>
  <c r="U45" i="24"/>
  <c r="AK45" i="24" s="1"/>
  <c r="U44" i="24"/>
  <c r="AK44" i="24" s="1"/>
  <c r="U43" i="24"/>
  <c r="AK43" i="24" s="1"/>
  <c r="U42" i="24"/>
  <c r="AK42" i="24" s="1"/>
  <c r="U41" i="24"/>
  <c r="AK41" i="24" s="1"/>
  <c r="U40" i="24"/>
  <c r="AK40" i="24" s="1"/>
  <c r="U39" i="24"/>
  <c r="AK39" i="24" s="1"/>
  <c r="U38" i="24"/>
  <c r="AK38" i="24" s="1"/>
  <c r="U37" i="24"/>
  <c r="AK37" i="24" s="1"/>
  <c r="U36" i="24"/>
  <c r="AK36" i="24" s="1"/>
  <c r="U35" i="24"/>
  <c r="AK35" i="24" s="1"/>
  <c r="U34" i="24"/>
  <c r="AK34" i="24" s="1"/>
  <c r="U33" i="24"/>
  <c r="AK33" i="24" s="1"/>
  <c r="U32" i="24"/>
  <c r="AK32" i="24" s="1"/>
  <c r="U30" i="24"/>
  <c r="AK30" i="24" s="1"/>
  <c r="U27" i="24"/>
  <c r="AK27" i="24" s="1"/>
  <c r="U26" i="24"/>
  <c r="AK26" i="24" s="1"/>
  <c r="U24" i="24"/>
  <c r="AK24" i="24" s="1"/>
  <c r="U23" i="24"/>
  <c r="AK23" i="24" s="1"/>
  <c r="U22" i="24"/>
  <c r="AK22" i="24" s="1"/>
  <c r="U21" i="24"/>
  <c r="AK21" i="24" s="1"/>
  <c r="U20" i="24"/>
  <c r="AK20" i="24" s="1"/>
  <c r="U19" i="24"/>
  <c r="AK19" i="24" s="1"/>
  <c r="U18" i="24"/>
  <c r="AK18" i="24" s="1"/>
  <c r="U16" i="24"/>
  <c r="AK16" i="24" s="1"/>
  <c r="X26" i="24"/>
  <c r="X27" i="24"/>
  <c r="L114" i="24"/>
  <c r="Q93" i="24"/>
  <c r="Q42" i="24"/>
  <c r="Q41" i="24"/>
  <c r="T41" i="24"/>
  <c r="T93" i="24"/>
  <c r="AN105" i="24"/>
  <c r="AO105" i="24" s="1"/>
  <c r="X93" i="24"/>
  <c r="AA93" i="24"/>
  <c r="X105" i="24"/>
  <c r="AA105" i="24"/>
  <c r="J12" i="7"/>
  <c r="F12" i="7"/>
  <c r="D12" i="7"/>
  <c r="J11" i="7"/>
  <c r="F11" i="7"/>
  <c r="D11" i="7"/>
  <c r="J7" i="7"/>
  <c r="F7" i="7"/>
  <c r="D7" i="7"/>
  <c r="J6" i="7"/>
  <c r="F6" i="7"/>
  <c r="D6" i="7"/>
  <c r="J24" i="7"/>
  <c r="F24" i="7"/>
  <c r="D24" i="7"/>
  <c r="J18" i="7"/>
  <c r="F18" i="7"/>
  <c r="D18" i="7"/>
  <c r="J17" i="7"/>
  <c r="F17" i="7"/>
  <c r="D17" i="7"/>
  <c r="J28" i="7"/>
  <c r="J27" i="7"/>
  <c r="J25" i="7"/>
  <c r="J23" i="7"/>
  <c r="J22" i="7"/>
  <c r="J21" i="7"/>
  <c r="J20" i="7"/>
  <c r="J19" i="7"/>
  <c r="J16" i="7"/>
  <c r="J15" i="7"/>
  <c r="J14" i="7"/>
  <c r="J13" i="7"/>
  <c r="J10" i="7"/>
  <c r="J9" i="7"/>
  <c r="J8" i="7"/>
  <c r="J5" i="7"/>
  <c r="J4" i="7"/>
  <c r="J3" i="7"/>
  <c r="F28" i="7"/>
  <c r="D28" i="7"/>
  <c r="F27" i="7"/>
  <c r="D27" i="7"/>
  <c r="F25" i="7"/>
  <c r="D25" i="7"/>
  <c r="F23" i="7"/>
  <c r="D23" i="7"/>
  <c r="AT110" i="24"/>
  <c r="AT109" i="24"/>
  <c r="AT108" i="24"/>
  <c r="AT69" i="24"/>
  <c r="AT81" i="24"/>
  <c r="AT86" i="24"/>
  <c r="L3" i="25"/>
  <c r="I3" i="25"/>
  <c r="E8" i="25"/>
  <c r="L6" i="25"/>
  <c r="K6" i="25"/>
  <c r="I6" i="25"/>
  <c r="H6" i="25"/>
  <c r="F6" i="25"/>
  <c r="C6" i="25"/>
  <c r="L5" i="25"/>
  <c r="K5" i="25"/>
  <c r="I5" i="25"/>
  <c r="H5" i="25"/>
  <c r="F5" i="25"/>
  <c r="C5" i="25"/>
  <c r="L4" i="25"/>
  <c r="K4" i="25"/>
  <c r="I4" i="25"/>
  <c r="H4" i="25"/>
  <c r="F4" i="25"/>
  <c r="E4" i="25"/>
  <c r="C4" i="25"/>
  <c r="F3" i="25"/>
  <c r="C3" i="25"/>
  <c r="N8" i="25"/>
  <c r="AT104" i="24"/>
  <c r="AT103" i="24"/>
  <c r="AT102" i="24"/>
  <c r="AT101" i="24"/>
  <c r="AT100" i="24"/>
  <c r="AT99" i="24"/>
  <c r="AT98" i="24"/>
  <c r="AT97" i="24"/>
  <c r="AT96" i="24"/>
  <c r="AT95" i="24"/>
  <c r="AT94" i="24"/>
  <c r="AT93" i="24"/>
  <c r="AT92" i="24"/>
  <c r="AT91" i="24"/>
  <c r="AT90" i="24"/>
  <c r="AT89" i="24"/>
  <c r="AT88" i="24"/>
  <c r="AT87" i="24"/>
  <c r="AT85" i="24"/>
  <c r="AT84" i="24"/>
  <c r="AT83" i="24"/>
  <c r="AT82" i="24"/>
  <c r="AT80" i="24"/>
  <c r="AT79" i="24"/>
  <c r="AT78" i="24"/>
  <c r="AT77" i="24"/>
  <c r="AT76" i="24"/>
  <c r="AT75" i="24"/>
  <c r="AT74" i="24"/>
  <c r="AT73" i="24"/>
  <c r="AT72" i="24"/>
  <c r="AT71" i="24"/>
  <c r="AT70" i="24"/>
  <c r="AT68" i="24"/>
  <c r="AT67" i="24"/>
  <c r="AT66" i="24"/>
  <c r="AT65" i="24"/>
  <c r="AT64" i="24"/>
  <c r="AT63" i="24"/>
  <c r="AT62" i="24"/>
  <c r="AT61" i="24"/>
  <c r="AT60" i="24"/>
  <c r="AT59" i="24"/>
  <c r="AT58" i="24"/>
  <c r="AT57" i="24"/>
  <c r="AT56" i="24"/>
  <c r="AT55" i="24"/>
  <c r="AT54" i="24"/>
  <c r="AT53" i="24"/>
  <c r="AT52" i="24"/>
  <c r="AT51" i="24"/>
  <c r="AT50" i="24"/>
  <c r="AT49" i="24"/>
  <c r="AT48" i="24"/>
  <c r="AT47" i="24"/>
  <c r="AT46" i="24"/>
  <c r="AT45" i="24"/>
  <c r="AT44" i="24"/>
  <c r="AT43" i="24"/>
  <c r="AT42" i="24"/>
  <c r="AT41" i="24"/>
  <c r="AT40" i="24"/>
  <c r="AT39" i="24"/>
  <c r="AT38" i="24"/>
  <c r="AT37" i="24"/>
  <c r="AT36" i="24"/>
  <c r="AT35" i="24"/>
  <c r="AT34" i="24"/>
  <c r="AT33" i="24"/>
  <c r="AT32" i="24"/>
  <c r="AT30" i="24"/>
  <c r="AT24" i="24"/>
  <c r="AT23" i="24"/>
  <c r="AT22" i="24"/>
  <c r="AT21" i="24"/>
  <c r="AT20" i="24"/>
  <c r="AT19" i="24"/>
  <c r="AT18" i="24"/>
  <c r="AT16" i="24"/>
  <c r="AF16" i="24"/>
  <c r="B5" i="25"/>
  <c r="F22" i="7"/>
  <c r="F21" i="7"/>
  <c r="F20" i="7"/>
  <c r="F19" i="7"/>
  <c r="F16" i="7"/>
  <c r="F15" i="7"/>
  <c r="F14" i="7"/>
  <c r="F13" i="7"/>
  <c r="F10" i="7"/>
  <c r="F9" i="7"/>
  <c r="F8" i="7"/>
  <c r="F5" i="7"/>
  <c r="F4" i="7"/>
  <c r="F3" i="7"/>
  <c r="D22" i="7"/>
  <c r="D21" i="7"/>
  <c r="D20" i="7"/>
  <c r="D19" i="7"/>
  <c r="D16" i="7"/>
  <c r="D15" i="7"/>
  <c r="D14" i="7"/>
  <c r="D13" i="7"/>
  <c r="D10" i="7"/>
  <c r="D9" i="7"/>
  <c r="D8" i="7"/>
  <c r="D5" i="7"/>
  <c r="D4" i="7"/>
  <c r="D3" i="7"/>
  <c r="L330" i="24" s="1"/>
  <c r="T330" i="24" s="1"/>
  <c r="V330" i="24" s="1"/>
  <c r="AN330" i="24" s="1"/>
  <c r="AO330" i="24" s="1"/>
  <c r="L415" i="24"/>
  <c r="T415" i="24" s="1"/>
  <c r="V415" i="24" s="1"/>
  <c r="L328" i="24"/>
  <c r="T328" i="24" s="1"/>
  <c r="V328" i="24" s="1"/>
  <c r="L331" i="24"/>
  <c r="T331" i="24" s="1"/>
  <c r="V331" i="24" s="1"/>
  <c r="L103" i="24"/>
  <c r="K103" i="24" s="1"/>
  <c r="L259" i="24"/>
  <c r="T259" i="24" s="1"/>
  <c r="L250" i="24"/>
  <c r="K250" i="24" s="1"/>
  <c r="L244" i="24"/>
  <c r="K244" i="24" s="1"/>
  <c r="L131" i="30"/>
  <c r="V131" i="30" s="1"/>
  <c r="L125" i="30"/>
  <c r="V125" i="30" s="1"/>
  <c r="L92" i="30"/>
  <c r="L84" i="30"/>
  <c r="S84" i="30" s="1"/>
  <c r="L41" i="30"/>
  <c r="L43" i="30"/>
  <c r="L13" i="30"/>
  <c r="L113" i="30"/>
  <c r="L17" i="30"/>
  <c r="L80" i="30"/>
  <c r="S80" i="30" s="1"/>
  <c r="L78" i="30"/>
  <c r="L20" i="30"/>
  <c r="L15" i="30"/>
  <c r="K15" i="30" s="1"/>
  <c r="L119" i="30"/>
  <c r="L100" i="30"/>
  <c r="L83" i="30"/>
  <c r="L62" i="24"/>
  <c r="K62" i="24" s="1"/>
  <c r="L50" i="24"/>
  <c r="Q50" i="24" s="1"/>
  <c r="L64" i="24"/>
  <c r="K64" i="24" s="1"/>
  <c r="L47" i="24"/>
  <c r="K47" i="24" s="1"/>
  <c r="L75" i="24"/>
  <c r="Q75" i="24" s="1"/>
  <c r="L46" i="24"/>
  <c r="Q46" i="24" s="1"/>
  <c r="L82" i="24"/>
  <c r="T82" i="24" s="1"/>
  <c r="L73" i="24"/>
  <c r="Q73" i="24" s="1"/>
  <c r="L35" i="24"/>
  <c r="L108" i="24"/>
  <c r="K108" i="24" s="1"/>
  <c r="L60" i="24"/>
  <c r="T60" i="24" s="1"/>
  <c r="L112" i="24"/>
  <c r="T112" i="24" s="1"/>
  <c r="S43" i="30"/>
  <c r="V17" i="30"/>
  <c r="K17" i="30"/>
  <c r="K106" i="24"/>
  <c r="T106" i="24"/>
  <c r="V106" i="24" s="1"/>
  <c r="K57" i="24"/>
  <c r="T57" i="24"/>
  <c r="K23" i="24"/>
  <c r="Q23" i="24"/>
  <c r="T23" i="24"/>
  <c r="AA56" i="24"/>
  <c r="AN56" i="24"/>
  <c r="AO56" i="24" s="1"/>
  <c r="X56" i="24"/>
  <c r="AA57" i="24"/>
  <c r="AN57" i="24"/>
  <c r="AO57" i="24" s="1"/>
  <c r="X57" i="24"/>
  <c r="K3" i="27"/>
  <c r="K4" i="27"/>
  <c r="K8" i="27"/>
  <c r="U94" i="24"/>
  <c r="AK94" i="24" s="1"/>
  <c r="V243" i="24" l="1"/>
  <c r="AA243" i="24" s="1"/>
  <c r="V60" i="24"/>
  <c r="AN60" i="24" s="1"/>
  <c r="AO60" i="24" s="1"/>
  <c r="K3" i="25"/>
  <c r="K7" i="25" s="1"/>
  <c r="K9" i="25" s="1"/>
  <c r="V265" i="24"/>
  <c r="AA265" i="24" s="1"/>
  <c r="T42" i="24"/>
  <c r="V42" i="24" s="1"/>
  <c r="T16" i="24"/>
  <c r="V16" i="24" s="1"/>
  <c r="AN16" i="24" s="1"/>
  <c r="AO16" i="24" s="1"/>
  <c r="V13" i="30"/>
  <c r="K13" i="30"/>
  <c r="S13" i="30"/>
  <c r="X13" i="30" s="1"/>
  <c r="G8" i="27"/>
  <c r="P7" i="27"/>
  <c r="P8" i="27" s="1"/>
  <c r="X43" i="30"/>
  <c r="S83" i="30"/>
  <c r="K83" i="30"/>
  <c r="V83" i="30"/>
  <c r="K100" i="30"/>
  <c r="V100" i="30"/>
  <c r="S100" i="30"/>
  <c r="X100" i="30" s="1"/>
  <c r="V92" i="30"/>
  <c r="K92" i="30"/>
  <c r="V84" i="30"/>
  <c r="X84" i="30" s="1"/>
  <c r="K113" i="30"/>
  <c r="V113" i="30"/>
  <c r="S113" i="30"/>
  <c r="X113" i="30" s="1"/>
  <c r="V20" i="30"/>
  <c r="K20" i="30"/>
  <c r="S20" i="30"/>
  <c r="X20" i="30" s="1"/>
  <c r="V78" i="30"/>
  <c r="S78" i="30"/>
  <c r="K78" i="30"/>
  <c r="K84" i="30"/>
  <c r="V43" i="30"/>
  <c r="K43" i="30"/>
  <c r="K80" i="30"/>
  <c r="S131" i="30"/>
  <c r="X131" i="30" s="1"/>
  <c r="L58" i="24"/>
  <c r="K58" i="24" s="1"/>
  <c r="L110" i="24"/>
  <c r="Q110" i="24" s="1"/>
  <c r="L49" i="24"/>
  <c r="K49" i="24" s="1"/>
  <c r="L40" i="30"/>
  <c r="L57" i="30"/>
  <c r="L59" i="30"/>
  <c r="L112" i="30"/>
  <c r="L336" i="24"/>
  <c r="K336" i="24" s="1"/>
  <c r="K30" i="24"/>
  <c r="F8" i="27"/>
  <c r="W122" i="30"/>
  <c r="AM122" i="30" s="1"/>
  <c r="K119" i="30"/>
  <c r="V119" i="30"/>
  <c r="S119" i="30"/>
  <c r="X119" i="30" s="1"/>
  <c r="W106" i="30"/>
  <c r="AM106" i="30" s="1"/>
  <c r="S106" i="30"/>
  <c r="Q30" i="24"/>
  <c r="V30" i="24" s="1"/>
  <c r="AA30" i="24" s="1"/>
  <c r="W19" i="30"/>
  <c r="AM19" i="30" s="1"/>
  <c r="W59" i="30"/>
  <c r="AM59" i="30" s="1"/>
  <c r="Q8" i="27"/>
  <c r="R8" i="27" s="1"/>
  <c r="F40" i="27"/>
  <c r="F5" i="27"/>
  <c r="S125" i="30"/>
  <c r="X125" i="30" s="1"/>
  <c r="V80" i="30"/>
  <c r="X80" i="30" s="1"/>
  <c r="L56" i="24"/>
  <c r="T56" i="24" s="1"/>
  <c r="L71" i="24"/>
  <c r="Q71" i="24" s="1"/>
  <c r="L20" i="24"/>
  <c r="T20" i="24" s="1"/>
  <c r="L91" i="30"/>
  <c r="L61" i="30"/>
  <c r="L21" i="30"/>
  <c r="L340" i="24"/>
  <c r="K340" i="24" s="1"/>
  <c r="D8" i="27"/>
  <c r="V45" i="30"/>
  <c r="K45" i="30"/>
  <c r="W64" i="30"/>
  <c r="AM64" i="30" s="1"/>
  <c r="L99" i="24"/>
  <c r="T99" i="24" s="1"/>
  <c r="V99" i="24" s="1"/>
  <c r="AA99" i="24" s="1"/>
  <c r="L87" i="24"/>
  <c r="T87" i="24" s="1"/>
  <c r="L21" i="24"/>
  <c r="K21" i="24" s="1"/>
  <c r="L117" i="30"/>
  <c r="L82" i="30"/>
  <c r="L73" i="30"/>
  <c r="L16" i="30"/>
  <c r="W17" i="30"/>
  <c r="AM17" i="30" s="1"/>
  <c r="S17" i="30"/>
  <c r="X17" i="30" s="1"/>
  <c r="AK31" i="30"/>
  <c r="AL31" i="30" s="1"/>
  <c r="S41" i="30"/>
  <c r="V41" i="30"/>
  <c r="K41" i="30"/>
  <c r="L413" i="24"/>
  <c r="K413" i="24" s="1"/>
  <c r="L333" i="24"/>
  <c r="T333" i="24" s="1"/>
  <c r="V333" i="24" s="1"/>
  <c r="AA333" i="24" s="1"/>
  <c r="L332" i="24"/>
  <c r="T332" i="24" s="1"/>
  <c r="V332" i="24" s="1"/>
  <c r="L25" i="24"/>
  <c r="T25" i="24" s="1"/>
  <c r="L129" i="30"/>
  <c r="L120" i="30"/>
  <c r="L71" i="30"/>
  <c r="L111" i="30"/>
  <c r="L121" i="30"/>
  <c r="L132" i="30"/>
  <c r="L55" i="30"/>
  <c r="L58" i="30"/>
  <c r="L44" i="30"/>
  <c r="L80" i="24"/>
  <c r="T80" i="24" s="1"/>
  <c r="L54" i="24"/>
  <c r="T54" i="24" s="1"/>
  <c r="V54" i="24" s="1"/>
  <c r="X54" i="24" s="1"/>
  <c r="L77" i="24"/>
  <c r="K77" i="24" s="1"/>
  <c r="L83" i="24"/>
  <c r="Q83" i="24" s="1"/>
  <c r="L68" i="24"/>
  <c r="T68" i="24" s="1"/>
  <c r="V68" i="24" s="1"/>
  <c r="X68" i="24" s="1"/>
  <c r="L36" i="24"/>
  <c r="K36" i="24" s="1"/>
  <c r="L61" i="24"/>
  <c r="T61" i="24" s="1"/>
  <c r="V61" i="24" s="1"/>
  <c r="AA61" i="24" s="1"/>
  <c r="L416" i="24"/>
  <c r="T416" i="24" s="1"/>
  <c r="V416" i="24" s="1"/>
  <c r="AN416" i="24" s="1"/>
  <c r="AO416" i="24" s="1"/>
  <c r="L345" i="24"/>
  <c r="K345" i="24" s="1"/>
  <c r="L264" i="24"/>
  <c r="Q264" i="24" s="1"/>
  <c r="L27" i="30"/>
  <c r="L33" i="30"/>
  <c r="L97" i="30"/>
  <c r="L118" i="30"/>
  <c r="L130" i="30"/>
  <c r="L126" i="30"/>
  <c r="L47" i="30"/>
  <c r="S47" i="30" s="1"/>
  <c r="L29" i="30"/>
  <c r="L101" i="30"/>
  <c r="L53" i="24"/>
  <c r="T53" i="24" s="1"/>
  <c r="L78" i="24"/>
  <c r="Q78" i="24" s="1"/>
  <c r="L84" i="24"/>
  <c r="Q84" i="24" s="1"/>
  <c r="L81" i="24"/>
  <c r="T81" i="24" s="1"/>
  <c r="L33" i="24"/>
  <c r="Q33" i="24" s="1"/>
  <c r="L48" i="24"/>
  <c r="T48" i="24" s="1"/>
  <c r="L414" i="24"/>
  <c r="T414" i="24" s="1"/>
  <c r="L327" i="24"/>
  <c r="T327" i="24" s="1"/>
  <c r="L266" i="24"/>
  <c r="K266" i="24" s="1"/>
  <c r="L14" i="30"/>
  <c r="L127" i="30"/>
  <c r="L69" i="30"/>
  <c r="L90" i="30"/>
  <c r="L31" i="30"/>
  <c r="S31" i="30" s="1"/>
  <c r="L38" i="30"/>
  <c r="L64" i="30"/>
  <c r="S64" i="30" s="1"/>
  <c r="L46" i="30"/>
  <c r="L70" i="24"/>
  <c r="T70" i="24" s="1"/>
  <c r="L98" i="24"/>
  <c r="K98" i="24" s="1"/>
  <c r="L92" i="24"/>
  <c r="T92" i="24" s="1"/>
  <c r="L72" i="24"/>
  <c r="Q72" i="24" s="1"/>
  <c r="L32" i="24"/>
  <c r="K32" i="24" s="1"/>
  <c r="L417" i="24"/>
  <c r="K417" i="24" s="1"/>
  <c r="L341" i="24"/>
  <c r="T341" i="24" s="1"/>
  <c r="V341" i="24" s="1"/>
  <c r="AN341" i="24" s="1"/>
  <c r="AO341" i="24" s="1"/>
  <c r="L29" i="24"/>
  <c r="K29" i="24" s="1"/>
  <c r="L108" i="30"/>
  <c r="L67" i="30"/>
  <c r="L39" i="30"/>
  <c r="L115" i="30"/>
  <c r="L74" i="30"/>
  <c r="L72" i="30"/>
  <c r="L54" i="30"/>
  <c r="L69" i="24"/>
  <c r="Q69" i="24" s="1"/>
  <c r="L76" i="24"/>
  <c r="K76" i="24" s="1"/>
  <c r="L88" i="24"/>
  <c r="Q88" i="24" s="1"/>
  <c r="L45" i="24"/>
  <c r="K45" i="24" s="1"/>
  <c r="L27" i="24"/>
  <c r="Q27" i="24" s="1"/>
  <c r="L391" i="24"/>
  <c r="T391" i="24" s="1"/>
  <c r="V391" i="24" s="1"/>
  <c r="AN391" i="24" s="1"/>
  <c r="AO391" i="24" s="1"/>
  <c r="L65" i="24"/>
  <c r="T65" i="24" s="1"/>
  <c r="V65" i="24" s="1"/>
  <c r="AA65" i="24" s="1"/>
  <c r="L25" i="30"/>
  <c r="L93" i="30"/>
  <c r="L70" i="30"/>
  <c r="L42" i="30"/>
  <c r="L19" i="24"/>
  <c r="K19" i="24" s="1"/>
  <c r="L66" i="24"/>
  <c r="T66" i="24" s="1"/>
  <c r="V66" i="24" s="1"/>
  <c r="L28" i="30"/>
  <c r="L113" i="24"/>
  <c r="T113" i="24" s="1"/>
  <c r="L102" i="24"/>
  <c r="K102" i="24" s="1"/>
  <c r="L334" i="24"/>
  <c r="K334" i="24" s="1"/>
  <c r="L104" i="30"/>
  <c r="L87" i="30"/>
  <c r="L105" i="30"/>
  <c r="L22" i="30"/>
  <c r="L104" i="24"/>
  <c r="K104" i="24" s="1"/>
  <c r="L86" i="24"/>
  <c r="T86" i="24" s="1"/>
  <c r="L22" i="24"/>
  <c r="K22" i="24" s="1"/>
  <c r="L339" i="24"/>
  <c r="L106" i="30"/>
  <c r="L19" i="30"/>
  <c r="L68" i="30"/>
  <c r="S68" i="30" s="1"/>
  <c r="L39" i="24"/>
  <c r="T39" i="24" s="1"/>
  <c r="L91" i="24"/>
  <c r="K91" i="24" s="1"/>
  <c r="L52" i="24"/>
  <c r="Q52" i="24" s="1"/>
  <c r="L94" i="30"/>
  <c r="L18" i="30"/>
  <c r="L74" i="24"/>
  <c r="K74" i="24" s="1"/>
  <c r="L342" i="24"/>
  <c r="T342" i="24" s="1"/>
  <c r="V342" i="24" s="1"/>
  <c r="L81" i="30"/>
  <c r="L26" i="30"/>
  <c r="L52" i="30"/>
  <c r="L40" i="24"/>
  <c r="T40" i="24" s="1"/>
  <c r="L90" i="24"/>
  <c r="T90" i="24" s="1"/>
  <c r="L55" i="24"/>
  <c r="Q55" i="24" s="1"/>
  <c r="L390" i="24"/>
  <c r="K390" i="24" s="1"/>
  <c r="L337" i="24"/>
  <c r="K337" i="24" s="1"/>
  <c r="L123" i="30"/>
  <c r="L133" i="30"/>
  <c r="L88" i="30"/>
  <c r="L66" i="30"/>
  <c r="L62" i="30"/>
  <c r="L96" i="24"/>
  <c r="K96" i="24" s="1"/>
  <c r="L37" i="24"/>
  <c r="Q37" i="24" s="1"/>
  <c r="L329" i="24"/>
  <c r="K329" i="24" s="1"/>
  <c r="L335" i="24"/>
  <c r="K335" i="24" s="1"/>
  <c r="L110" i="30"/>
  <c r="L89" i="30"/>
  <c r="L122" i="30"/>
  <c r="S122" i="30" s="1"/>
  <c r="L109" i="30"/>
  <c r="L76" i="30"/>
  <c r="L24" i="30"/>
  <c r="L60" i="30"/>
  <c r="L37" i="30"/>
  <c r="L59" i="24"/>
  <c r="K59" i="24" s="1"/>
  <c r="L97" i="24"/>
  <c r="T97" i="24" s="1"/>
  <c r="V97" i="24" s="1"/>
  <c r="X97" i="24" s="1"/>
  <c r="L101" i="24"/>
  <c r="T101" i="24" s="1"/>
  <c r="L18" i="24"/>
  <c r="K18" i="24" s="1"/>
  <c r="L24" i="24"/>
  <c r="T24" i="24" s="1"/>
  <c r="R3" i="27"/>
  <c r="Q40" i="27"/>
  <c r="R40" i="27" s="1"/>
  <c r="L44" i="24"/>
  <c r="T44" i="24" s="1"/>
  <c r="L109" i="24"/>
  <c r="Q109" i="24" s="1"/>
  <c r="L95" i="24"/>
  <c r="K95" i="24" s="1"/>
  <c r="L103" i="30"/>
  <c r="L49" i="30"/>
  <c r="L51" i="30"/>
  <c r="L75" i="30"/>
  <c r="L321" i="24"/>
  <c r="K321" i="24" s="1"/>
  <c r="L99" i="30"/>
  <c r="W76" i="30"/>
  <c r="AM76" i="30" s="1"/>
  <c r="S76" i="30"/>
  <c r="W29" i="30"/>
  <c r="AM29" i="30" s="1"/>
  <c r="AK29" i="30"/>
  <c r="AL29" i="30" s="1"/>
  <c r="S15" i="30"/>
  <c r="X15" i="30" s="1"/>
  <c r="S66" i="30"/>
  <c r="V15" i="30"/>
  <c r="L89" i="24"/>
  <c r="K89" i="24" s="1"/>
  <c r="L51" i="24"/>
  <c r="K51" i="24" s="1"/>
  <c r="L34" i="24"/>
  <c r="T34" i="24" s="1"/>
  <c r="V34" i="24" s="1"/>
  <c r="AN34" i="24" s="1"/>
  <c r="AO34" i="24" s="1"/>
  <c r="L53" i="30"/>
  <c r="L85" i="30"/>
  <c r="L77" i="30"/>
  <c r="L34" i="30"/>
  <c r="L338" i="24"/>
  <c r="T338" i="24" s="1"/>
  <c r="V338" i="24" s="1"/>
  <c r="AA338" i="24" s="1"/>
  <c r="W54" i="30"/>
  <c r="AM54" i="30" s="1"/>
  <c r="S54" i="30"/>
  <c r="W68" i="30"/>
  <c r="AM68" i="30" s="1"/>
  <c r="K125" i="30"/>
  <c r="L43" i="24"/>
  <c r="T43" i="24" s="1"/>
  <c r="L85" i="24"/>
  <c r="K85" i="24" s="1"/>
  <c r="L26" i="24"/>
  <c r="T26" i="24" s="1"/>
  <c r="L96" i="30"/>
  <c r="L23" i="30"/>
  <c r="L63" i="30"/>
  <c r="L30" i="30"/>
  <c r="L343" i="24"/>
  <c r="K343" i="24" s="1"/>
  <c r="L79" i="24"/>
  <c r="T79" i="24" s="1"/>
  <c r="L63" i="24"/>
  <c r="T63" i="24" s="1"/>
  <c r="V63" i="24" s="1"/>
  <c r="AN63" i="24" s="1"/>
  <c r="AO63" i="24" s="1"/>
  <c r="L67" i="24"/>
  <c r="K67" i="24" s="1"/>
  <c r="L98" i="30"/>
  <c r="L128" i="30"/>
  <c r="L65" i="30"/>
  <c r="L32" i="30"/>
  <c r="L346" i="24"/>
  <c r="T346" i="24" s="1"/>
  <c r="V346" i="24" s="1"/>
  <c r="L94" i="24"/>
  <c r="K94" i="24" s="1"/>
  <c r="L100" i="24"/>
  <c r="Q100" i="24" s="1"/>
  <c r="L111" i="24"/>
  <c r="K111" i="24" s="1"/>
  <c r="L56" i="30"/>
  <c r="L95" i="30"/>
  <c r="L107" i="30"/>
  <c r="L79" i="30"/>
  <c r="L86" i="30"/>
  <c r="L344" i="24"/>
  <c r="T344" i="24" s="1"/>
  <c r="V344" i="24" s="1"/>
  <c r="AA344" i="24" s="1"/>
  <c r="W43" i="30"/>
  <c r="AM43" i="30" s="1"/>
  <c r="W94" i="30"/>
  <c r="AM94" i="30" s="1"/>
  <c r="W27" i="30"/>
  <c r="AM27" i="30" s="1"/>
  <c r="W41" i="30"/>
  <c r="AM41" i="30" s="1"/>
  <c r="S45" i="30"/>
  <c r="X45" i="30" s="1"/>
  <c r="W47" i="30"/>
  <c r="AM47" i="30" s="1"/>
  <c r="V50" i="30"/>
  <c r="K50" i="30"/>
  <c r="W57" i="30"/>
  <c r="AM57" i="30" s="1"/>
  <c r="S35" i="30"/>
  <c r="X35" i="30" s="1"/>
  <c r="W35" i="30"/>
  <c r="AM35" i="30" s="1"/>
  <c r="W102" i="30"/>
  <c r="AM102" i="30" s="1"/>
  <c r="S102" i="30"/>
  <c r="X102" i="30" s="1"/>
  <c r="AK123" i="30"/>
  <c r="AL123" i="30" s="1"/>
  <c r="W123" i="30"/>
  <c r="AM123" i="30" s="1"/>
  <c r="W37" i="30"/>
  <c r="AM37" i="30" s="1"/>
  <c r="W52" i="30"/>
  <c r="AM52" i="30" s="1"/>
  <c r="M8" i="27"/>
  <c r="Z114" i="30"/>
  <c r="AP114" i="30"/>
  <c r="AQ114" i="30" s="1"/>
  <c r="W23" i="30"/>
  <c r="AM23" i="30" s="1"/>
  <c r="W32" i="30"/>
  <c r="AM32" i="30" s="1"/>
  <c r="S32" i="30"/>
  <c r="AC48" i="30"/>
  <c r="Z48" i="30"/>
  <c r="AP48" i="30"/>
  <c r="AQ48" i="30" s="1"/>
  <c r="W84" i="30"/>
  <c r="AM84" i="30" s="1"/>
  <c r="W88" i="30"/>
  <c r="AM88" i="30" s="1"/>
  <c r="N8" i="27"/>
  <c r="X36" i="30"/>
  <c r="W48" i="30"/>
  <c r="AM48" i="30" s="1"/>
  <c r="W92" i="30"/>
  <c r="AM92" i="30" s="1"/>
  <c r="S92" i="30"/>
  <c r="X92" i="30" s="1"/>
  <c r="AC114" i="30"/>
  <c r="W90" i="30"/>
  <c r="AM90" i="30" s="1"/>
  <c r="AK49" i="30"/>
  <c r="AL49" i="30" s="1"/>
  <c r="S49" i="30"/>
  <c r="AK116" i="30"/>
  <c r="AL116" i="30" s="1"/>
  <c r="W116" i="30"/>
  <c r="AM116" i="30" s="1"/>
  <c r="D40" i="27"/>
  <c r="D5" i="27"/>
  <c r="K12" i="30"/>
  <c r="V12" i="30"/>
  <c r="M9" i="30"/>
  <c r="M8" i="30" s="1"/>
  <c r="S12" i="30"/>
  <c r="S50" i="30"/>
  <c r="X50" i="30" s="1"/>
  <c r="W83" i="30"/>
  <c r="AM83" i="30" s="1"/>
  <c r="AK83" i="30"/>
  <c r="AL83" i="30" s="1"/>
  <c r="Y10" i="30"/>
  <c r="W113" i="30"/>
  <c r="AM113" i="30" s="1"/>
  <c r="Q6" i="27"/>
  <c r="R6" i="27" s="1"/>
  <c r="W31" i="30"/>
  <c r="AM31" i="30" s="1"/>
  <c r="W70" i="30"/>
  <c r="AM70" i="30" s="1"/>
  <c r="K102" i="30"/>
  <c r="S116" i="30"/>
  <c r="X116" i="30" s="1"/>
  <c r="P40" i="27"/>
  <c r="Q31" i="24"/>
  <c r="S124" i="30"/>
  <c r="X124" i="30" s="1"/>
  <c r="K124" i="30"/>
  <c r="N9" i="27"/>
  <c r="V41" i="24"/>
  <c r="AN41" i="24" s="1"/>
  <c r="AO41" i="24" s="1"/>
  <c r="V255" i="24"/>
  <c r="AA255" i="24" s="1"/>
  <c r="K415" i="24"/>
  <c r="T421" i="24"/>
  <c r="V421" i="24" s="1"/>
  <c r="AA421" i="24" s="1"/>
  <c r="T31" i="24"/>
  <c r="V263" i="24"/>
  <c r="AN263" i="24" s="1"/>
  <c r="AO263" i="24" s="1"/>
  <c r="K9" i="27"/>
  <c r="L267" i="24"/>
  <c r="AA268" i="24"/>
  <c r="K115" i="24"/>
  <c r="K331" i="24"/>
  <c r="AN331" i="24"/>
  <c r="AO331" i="24" s="1"/>
  <c r="AA331" i="24"/>
  <c r="K75" i="24"/>
  <c r="Q108" i="24"/>
  <c r="K82" i="24"/>
  <c r="T108" i="24"/>
  <c r="Q82" i="24"/>
  <c r="V82" i="24" s="1"/>
  <c r="K46" i="24"/>
  <c r="K328" i="24"/>
  <c r="T250" i="24"/>
  <c r="V250" i="24" s="1"/>
  <c r="AA250" i="24" s="1"/>
  <c r="K60" i="24"/>
  <c r="X415" i="24"/>
  <c r="AN415" i="24"/>
  <c r="AO415" i="24" s="1"/>
  <c r="AA328" i="24"/>
  <c r="AN328" i="24"/>
  <c r="AO328" i="24" s="1"/>
  <c r="T75" i="24"/>
  <c r="V75" i="24" s="1"/>
  <c r="X75" i="24" s="1"/>
  <c r="O4" i="25"/>
  <c r="T254" i="24"/>
  <c r="V254" i="24" s="1"/>
  <c r="X254" i="24" s="1"/>
  <c r="O6" i="25"/>
  <c r="X331" i="24"/>
  <c r="T62" i="24"/>
  <c r="V62" i="24" s="1"/>
  <c r="X62" i="24" s="1"/>
  <c r="K259" i="24"/>
  <c r="T103" i="24"/>
  <c r="V103" i="24" s="1"/>
  <c r="X103" i="24" s="1"/>
  <c r="F7" i="25"/>
  <c r="T64" i="24"/>
  <c r="V64" i="24" s="1"/>
  <c r="T38" i="24"/>
  <c r="Q38" i="24"/>
  <c r="K38" i="24"/>
  <c r="K35" i="24"/>
  <c r="T35" i="24"/>
  <c r="AN256" i="24"/>
  <c r="AO256" i="24" s="1"/>
  <c r="AA256" i="24"/>
  <c r="V23" i="24"/>
  <c r="AN106" i="24"/>
  <c r="AO106" i="24" s="1"/>
  <c r="AA106" i="24"/>
  <c r="H3" i="25" s="1"/>
  <c r="H7" i="25" s="1"/>
  <c r="H11" i="25" s="1"/>
  <c r="X106" i="24"/>
  <c r="Q114" i="24"/>
  <c r="T114" i="24"/>
  <c r="K114" i="24"/>
  <c r="Q389" i="24"/>
  <c r="V389" i="24" s="1"/>
  <c r="AK389" i="24"/>
  <c r="X269" i="24"/>
  <c r="AA269" i="24"/>
  <c r="AA330" i="24"/>
  <c r="X330" i="24"/>
  <c r="X60" i="24"/>
  <c r="AA60" i="24"/>
  <c r="AN258" i="24"/>
  <c r="AO258" i="24" s="1"/>
  <c r="X258" i="24"/>
  <c r="Q35" i="24"/>
  <c r="W11" i="24"/>
  <c r="L7" i="25"/>
  <c r="AN243" i="24"/>
  <c r="AO243" i="24" s="1"/>
  <c r="C7" i="25"/>
  <c r="T46" i="24"/>
  <c r="V46" i="24" s="1"/>
  <c r="X46" i="24" s="1"/>
  <c r="Q259" i="24"/>
  <c r="V259" i="24" s="1"/>
  <c r="K330" i="24"/>
  <c r="X257" i="24"/>
  <c r="X243" i="24"/>
  <c r="AA257" i="24"/>
  <c r="AA415" i="24"/>
  <c r="X328" i="24"/>
  <c r="T73" i="24"/>
  <c r="V73" i="24" s="1"/>
  <c r="AN73" i="24" s="1"/>
  <c r="AO73" i="24" s="1"/>
  <c r="T422" i="24"/>
  <c r="I7" i="25"/>
  <c r="K107" i="24"/>
  <c r="T107" i="24"/>
  <c r="Q112" i="24"/>
  <c r="V112" i="24" s="1"/>
  <c r="K112" i="24"/>
  <c r="Q47" i="24"/>
  <c r="T47" i="24"/>
  <c r="K73" i="24"/>
  <c r="K50" i="24"/>
  <c r="T50" i="24"/>
  <c r="V50" i="24" s="1"/>
  <c r="T244" i="24"/>
  <c r="Q244" i="24"/>
  <c r="Q425" i="24"/>
  <c r="V425" i="24" s="1"/>
  <c r="Q17" i="24"/>
  <c r="V17" i="24" s="1"/>
  <c r="K421" i="24"/>
  <c r="K17" i="24"/>
  <c r="Q422" i="24"/>
  <c r="O5" i="25"/>
  <c r="O3" i="25"/>
  <c r="T28" i="24"/>
  <c r="Q426" i="24"/>
  <c r="V426" i="24" s="1"/>
  <c r="T424" i="24"/>
  <c r="V424" i="24" s="1"/>
  <c r="Q28" i="24"/>
  <c r="Q428" i="24"/>
  <c r="V428" i="24" s="1"/>
  <c r="Q427" i="24"/>
  <c r="V427" i="24" s="1"/>
  <c r="Q420" i="24"/>
  <c r="K423" i="24"/>
  <c r="K425" i="24"/>
  <c r="T420" i="24"/>
  <c r="K424" i="24"/>
  <c r="Q423" i="24"/>
  <c r="V423" i="24" s="1"/>
  <c r="K426" i="24"/>
  <c r="K427" i="24"/>
  <c r="K428" i="24"/>
  <c r="X265" i="24" l="1"/>
  <c r="K61" i="24"/>
  <c r="T69" i="24"/>
  <c r="V69" i="24" s="1"/>
  <c r="AN265" i="24"/>
  <c r="AO265" i="24" s="1"/>
  <c r="T45" i="24"/>
  <c r="Q85" i="24"/>
  <c r="K52" i="24"/>
  <c r="X416" i="24"/>
  <c r="K341" i="24"/>
  <c r="Q45" i="24"/>
  <c r="T102" i="24"/>
  <c r="V102" i="24" s="1"/>
  <c r="AA102" i="24" s="1"/>
  <c r="K338" i="24"/>
  <c r="T334" i="24"/>
  <c r="V334" i="24" s="1"/>
  <c r="AA334" i="24" s="1"/>
  <c r="AA263" i="24"/>
  <c r="T18" i="24"/>
  <c r="V18" i="24" s="1"/>
  <c r="X18" i="24" s="1"/>
  <c r="T78" i="24"/>
  <c r="V78" i="24" s="1"/>
  <c r="X61" i="24"/>
  <c r="T390" i="24"/>
  <c r="V390" i="24" s="1"/>
  <c r="AN390" i="24" s="1"/>
  <c r="AO390" i="24" s="1"/>
  <c r="K391" i="24"/>
  <c r="X263" i="24"/>
  <c r="Q21" i="24"/>
  <c r="K65" i="24"/>
  <c r="T321" i="24"/>
  <c r="K56" i="24"/>
  <c r="K327" i="24"/>
  <c r="T33" i="24"/>
  <c r="V33" i="24" s="1"/>
  <c r="AN33" i="24" s="1"/>
  <c r="AO33" i="24" s="1"/>
  <c r="Q79" i="24"/>
  <c r="V79" i="24" s="1"/>
  <c r="AN79" i="24" s="1"/>
  <c r="AO79" i="24" s="1"/>
  <c r="Q101" i="24"/>
  <c r="V101" i="24" s="1"/>
  <c r="AA101" i="24" s="1"/>
  <c r="K79" i="24"/>
  <c r="Q53" i="24"/>
  <c r="V53" i="24" s="1"/>
  <c r="X53" i="24" s="1"/>
  <c r="T89" i="24"/>
  <c r="T77" i="24"/>
  <c r="T22" i="24"/>
  <c r="V22" i="24" s="1"/>
  <c r="AA22" i="24" s="1"/>
  <c r="Q89" i="24"/>
  <c r="T52" i="24"/>
  <c r="V52" i="24" s="1"/>
  <c r="X52" i="24" s="1"/>
  <c r="Q113" i="24"/>
  <c r="V113" i="24" s="1"/>
  <c r="X113" i="24" s="1"/>
  <c r="T21" i="24"/>
  <c r="AA42" i="24"/>
  <c r="AN42" i="24"/>
  <c r="AO42" i="24" s="1"/>
  <c r="K26" i="24"/>
  <c r="K68" i="24"/>
  <c r="T72" i="24"/>
  <c r="V72" i="24" s="1"/>
  <c r="AA72" i="24" s="1"/>
  <c r="X16" i="24"/>
  <c r="Q67" i="24"/>
  <c r="AA103" i="24"/>
  <c r="T91" i="24"/>
  <c r="K72" i="24"/>
  <c r="Q77" i="24"/>
  <c r="T336" i="24"/>
  <c r="V336" i="24" s="1"/>
  <c r="AA336" i="24" s="1"/>
  <c r="AA16" i="24"/>
  <c r="B4" i="25" s="1"/>
  <c r="N4" i="25" s="1"/>
  <c r="Q96" i="24"/>
  <c r="V96" i="24" s="1"/>
  <c r="X96" i="24" s="1"/>
  <c r="T83" i="24"/>
  <c r="V83" i="24" s="1"/>
  <c r="AA83" i="24" s="1"/>
  <c r="T51" i="24"/>
  <c r="Q76" i="24"/>
  <c r="Q25" i="24"/>
  <c r="V25" i="24" s="1"/>
  <c r="AA25" i="24" s="1"/>
  <c r="K25" i="24"/>
  <c r="K43" i="24"/>
  <c r="T74" i="24"/>
  <c r="Q19" i="24"/>
  <c r="Q92" i="24"/>
  <c r="V92" i="24" s="1"/>
  <c r="AA92" i="24" s="1"/>
  <c r="T67" i="24"/>
  <c r="AN103" i="24"/>
  <c r="AO103" i="24" s="1"/>
  <c r="Q74" i="24"/>
  <c r="AA68" i="24"/>
  <c r="K48" i="24"/>
  <c r="K66" i="24"/>
  <c r="Q51" i="24"/>
  <c r="AN68" i="24"/>
  <c r="AO68" i="24" s="1"/>
  <c r="X341" i="24"/>
  <c r="K109" i="24"/>
  <c r="T58" i="24"/>
  <c r="Q43" i="24"/>
  <c r="V43" i="24" s="1"/>
  <c r="X43" i="24" s="1"/>
  <c r="T19" i="24"/>
  <c r="Q26" i="24"/>
  <c r="V26" i="24" s="1"/>
  <c r="AA26" i="24" s="1"/>
  <c r="K92" i="24"/>
  <c r="K342" i="24"/>
  <c r="X63" i="24"/>
  <c r="T417" i="24"/>
  <c r="V417" i="24" s="1"/>
  <c r="X417" i="24" s="1"/>
  <c r="T329" i="24"/>
  <c r="V329" i="24" s="1"/>
  <c r="X329" i="24" s="1"/>
  <c r="T109" i="24"/>
  <c r="V109" i="24" s="1"/>
  <c r="AA109" i="24" s="1"/>
  <c r="T36" i="24"/>
  <c r="V36" i="24" s="1"/>
  <c r="AA36" i="24" s="1"/>
  <c r="V35" i="24"/>
  <c r="AN35" i="24" s="1"/>
  <c r="AO35" i="24" s="1"/>
  <c r="AN333" i="24"/>
  <c r="AO333" i="24" s="1"/>
  <c r="X333" i="24"/>
  <c r="T95" i="24"/>
  <c r="AN54" i="24"/>
  <c r="AO54" i="24" s="1"/>
  <c r="K101" i="24"/>
  <c r="Q321" i="24"/>
  <c r="Q95" i="24"/>
  <c r="T100" i="24"/>
  <c r="V100" i="24" s="1"/>
  <c r="K63" i="24"/>
  <c r="X42" i="24"/>
  <c r="T104" i="24"/>
  <c r="V104" i="24" s="1"/>
  <c r="AA104" i="24" s="1"/>
  <c r="K33" i="24"/>
  <c r="X34" i="24"/>
  <c r="Q40" i="24"/>
  <c r="V40" i="24" s="1"/>
  <c r="AN40" i="24" s="1"/>
  <c r="AO40" i="24" s="1"/>
  <c r="K86" i="24"/>
  <c r="K332" i="24"/>
  <c r="K53" i="24"/>
  <c r="K333" i="24"/>
  <c r="K40" i="24"/>
  <c r="K34" i="24"/>
  <c r="K54" i="24"/>
  <c r="AN250" i="24"/>
  <c r="AO250" i="24" s="1"/>
  <c r="Q48" i="24"/>
  <c r="V48" i="24" s="1"/>
  <c r="AA48" i="24" s="1"/>
  <c r="Q70" i="24"/>
  <c r="V70" i="24" s="1"/>
  <c r="AN70" i="24" s="1"/>
  <c r="AO70" i="24" s="1"/>
  <c r="AA54" i="24"/>
  <c r="T413" i="24"/>
  <c r="V413" i="24" s="1"/>
  <c r="AN413" i="24" s="1"/>
  <c r="AO413" i="24" s="1"/>
  <c r="K113" i="24"/>
  <c r="AA63" i="24"/>
  <c r="T340" i="24"/>
  <c r="V340" i="24" s="1"/>
  <c r="X340" i="24" s="1"/>
  <c r="K414" i="24"/>
  <c r="K70" i="24"/>
  <c r="Q86" i="24"/>
  <c r="V86" i="24" s="1"/>
  <c r="AA86" i="24" s="1"/>
  <c r="T29" i="24"/>
  <c r="V29" i="24" s="1"/>
  <c r="AN29" i="24" s="1"/>
  <c r="AO29" i="24" s="1"/>
  <c r="Z84" i="30"/>
  <c r="AC84" i="30"/>
  <c r="AP84" i="30"/>
  <c r="AQ84" i="30" s="1"/>
  <c r="X68" i="30"/>
  <c r="V94" i="30"/>
  <c r="K94" i="30"/>
  <c r="S94" i="30"/>
  <c r="X94" i="30" s="1"/>
  <c r="V27" i="30"/>
  <c r="K27" i="30"/>
  <c r="S27" i="30"/>
  <c r="X27" i="30" s="1"/>
  <c r="V38" i="30"/>
  <c r="K38" i="30"/>
  <c r="S38" i="30"/>
  <c r="K89" i="30"/>
  <c r="V89" i="30"/>
  <c r="S89" i="30"/>
  <c r="X89" i="30" s="1"/>
  <c r="V104" i="30"/>
  <c r="K104" i="30"/>
  <c r="S104" i="30"/>
  <c r="X104" i="30" s="1"/>
  <c r="Z119" i="30"/>
  <c r="AP119" i="30"/>
  <c r="AQ119" i="30" s="1"/>
  <c r="AC119" i="30"/>
  <c r="AN62" i="24"/>
  <c r="AO62" i="24" s="1"/>
  <c r="Q91" i="24"/>
  <c r="Z80" i="30"/>
  <c r="AP80" i="30"/>
  <c r="AQ80" i="30" s="1"/>
  <c r="AC80" i="30"/>
  <c r="X32" i="30"/>
  <c r="V69" i="30"/>
  <c r="S69" i="30"/>
  <c r="X69" i="30" s="1"/>
  <c r="K69" i="30"/>
  <c r="S101" i="30"/>
  <c r="K101" i="30"/>
  <c r="V101" i="30"/>
  <c r="V111" i="30"/>
  <c r="S111" i="30"/>
  <c r="X111" i="30" s="1"/>
  <c r="K111" i="30"/>
  <c r="AP125" i="30"/>
  <c r="AQ125" i="30" s="1"/>
  <c r="AC125" i="30"/>
  <c r="Z125" i="30"/>
  <c r="AP113" i="30"/>
  <c r="AQ113" i="30" s="1"/>
  <c r="Z113" i="30"/>
  <c r="AC113" i="30"/>
  <c r="K27" i="24"/>
  <c r="K346" i="24"/>
  <c r="K264" i="24"/>
  <c r="T85" i="24"/>
  <c r="V85" i="24" s="1"/>
  <c r="T76" i="24"/>
  <c r="K44" i="24"/>
  <c r="Q49" i="24"/>
  <c r="Q39" i="24"/>
  <c r="V39" i="24" s="1"/>
  <c r="AA39" i="24" s="1"/>
  <c r="Q111" i="24"/>
  <c r="T94" i="24"/>
  <c r="V94" i="24" s="1"/>
  <c r="AN94" i="24" s="1"/>
  <c r="AO94" i="24" s="1"/>
  <c r="K84" i="24"/>
  <c r="X255" i="24"/>
  <c r="X12" i="30"/>
  <c r="Z92" i="30"/>
  <c r="AP92" i="30"/>
  <c r="AQ92" i="30" s="1"/>
  <c r="AC92" i="30"/>
  <c r="S65" i="30"/>
  <c r="K65" i="30"/>
  <c r="V65" i="30"/>
  <c r="K53" i="30"/>
  <c r="V53" i="30"/>
  <c r="S53" i="30"/>
  <c r="X53" i="30" s="1"/>
  <c r="V19" i="30"/>
  <c r="K19" i="30"/>
  <c r="T88" i="24"/>
  <c r="V88" i="24" s="1"/>
  <c r="AN88" i="24" s="1"/>
  <c r="AO88" i="24" s="1"/>
  <c r="K88" i="24"/>
  <c r="V127" i="30"/>
  <c r="S127" i="30"/>
  <c r="X127" i="30" s="1"/>
  <c r="K29" i="30"/>
  <c r="V29" i="30"/>
  <c r="S29" i="30"/>
  <c r="X29" i="30" s="1"/>
  <c r="S71" i="30"/>
  <c r="X71" i="30" s="1"/>
  <c r="V71" i="30"/>
  <c r="K71" i="30"/>
  <c r="Z17" i="30"/>
  <c r="AC17" i="30"/>
  <c r="AP17" i="30"/>
  <c r="AQ17" i="30" s="1"/>
  <c r="AC131" i="30"/>
  <c r="AP131" i="30"/>
  <c r="AQ131" i="30" s="1"/>
  <c r="X83" i="30"/>
  <c r="V25" i="30"/>
  <c r="S25" i="30"/>
  <c r="X25" i="30" s="1"/>
  <c r="K25" i="30"/>
  <c r="X49" i="30"/>
  <c r="K67" i="30"/>
  <c r="S67" i="30"/>
  <c r="V67" i="30"/>
  <c r="V55" i="30"/>
  <c r="K55" i="30"/>
  <c r="S55" i="30"/>
  <c r="X55" i="30" s="1"/>
  <c r="Z20" i="30"/>
  <c r="AC20" i="30"/>
  <c r="AP20" i="30"/>
  <c r="AQ20" i="30" s="1"/>
  <c r="V31" i="30"/>
  <c r="X31" i="30" s="1"/>
  <c r="K31" i="30"/>
  <c r="V121" i="30"/>
  <c r="S121" i="30"/>
  <c r="K121" i="30"/>
  <c r="T264" i="24"/>
  <c r="V264" i="24" s="1"/>
  <c r="AN264" i="24" s="1"/>
  <c r="AO264" i="24" s="1"/>
  <c r="T84" i="24"/>
  <c r="V84" i="24" s="1"/>
  <c r="AN84" i="24" s="1"/>
  <c r="AO84" i="24" s="1"/>
  <c r="S96" i="30"/>
  <c r="X96" i="30" s="1"/>
  <c r="K96" i="30"/>
  <c r="V96" i="30"/>
  <c r="AA391" i="24"/>
  <c r="Q24" i="24"/>
  <c r="V24" i="24" s="1"/>
  <c r="AA24" i="24" s="1"/>
  <c r="V28" i="30"/>
  <c r="K28" i="30"/>
  <c r="S28" i="30"/>
  <c r="X28" i="30" s="1"/>
  <c r="T37" i="24"/>
  <c r="V37" i="24" s="1"/>
  <c r="X37" i="24" s="1"/>
  <c r="T339" i="24"/>
  <c r="V339" i="24" s="1"/>
  <c r="K339" i="24"/>
  <c r="S129" i="30"/>
  <c r="V129" i="30"/>
  <c r="Q87" i="24"/>
  <c r="V87" i="24" s="1"/>
  <c r="AN87" i="24" s="1"/>
  <c r="AO87" i="24" s="1"/>
  <c r="K69" i="24"/>
  <c r="AN338" i="24"/>
  <c r="AO338" i="24" s="1"/>
  <c r="Q32" i="24"/>
  <c r="X30" i="24"/>
  <c r="K87" i="24"/>
  <c r="AN61" i="24"/>
  <c r="AO61" i="24" s="1"/>
  <c r="V31" i="24"/>
  <c r="AN31" i="24" s="1"/>
  <c r="AO31" i="24" s="1"/>
  <c r="Z36" i="30"/>
  <c r="AC36" i="30"/>
  <c r="AP36" i="30"/>
  <c r="AQ36" i="30" s="1"/>
  <c r="K79" i="30"/>
  <c r="S79" i="30"/>
  <c r="X79" i="30" s="1"/>
  <c r="V79" i="30"/>
  <c r="K49" i="30"/>
  <c r="V49" i="30"/>
  <c r="K37" i="30"/>
  <c r="V37" i="30"/>
  <c r="S37" i="30"/>
  <c r="X37" i="30" s="1"/>
  <c r="V62" i="30"/>
  <c r="K62" i="30"/>
  <c r="S62" i="30"/>
  <c r="X62" i="30" s="1"/>
  <c r="V81" i="30"/>
  <c r="K81" i="30"/>
  <c r="S81" i="30"/>
  <c r="X81" i="30" s="1"/>
  <c r="K54" i="30"/>
  <c r="V54" i="30"/>
  <c r="X54" i="30" s="1"/>
  <c r="V130" i="30"/>
  <c r="S130" i="30"/>
  <c r="X130" i="30" s="1"/>
  <c r="S73" i="30"/>
  <c r="X73" i="30" s="1"/>
  <c r="K73" i="30"/>
  <c r="V73" i="30"/>
  <c r="AA41" i="24"/>
  <c r="K23" i="30"/>
  <c r="V23" i="30"/>
  <c r="T27" i="24"/>
  <c r="V27" i="24" s="1"/>
  <c r="AN27" i="24" s="1"/>
  <c r="AO27" i="24" s="1"/>
  <c r="Q44" i="24"/>
  <c r="V44" i="24" s="1"/>
  <c r="X44" i="24" s="1"/>
  <c r="K39" i="24"/>
  <c r="T111" i="24"/>
  <c r="V32" i="30"/>
  <c r="K32" i="30"/>
  <c r="K24" i="24"/>
  <c r="S23" i="30"/>
  <c r="X23" i="30" s="1"/>
  <c r="S128" i="30"/>
  <c r="V128" i="30"/>
  <c r="K75" i="30"/>
  <c r="V75" i="30"/>
  <c r="S75" i="30"/>
  <c r="X75" i="30" s="1"/>
  <c r="K52" i="30"/>
  <c r="V52" i="30"/>
  <c r="K14" i="30"/>
  <c r="V14" i="30"/>
  <c r="S14" i="30"/>
  <c r="X14" i="30" s="1"/>
  <c r="AP43" i="30"/>
  <c r="AQ43" i="30" s="1"/>
  <c r="AC43" i="30"/>
  <c r="Z43" i="30"/>
  <c r="K20" i="24"/>
  <c r="AN30" i="24"/>
  <c r="AO30" i="24" s="1"/>
  <c r="V86" i="30"/>
  <c r="K86" i="30"/>
  <c r="K51" i="30"/>
  <c r="V51" i="30"/>
  <c r="S51" i="30"/>
  <c r="X51" i="30" s="1"/>
  <c r="V126" i="30"/>
  <c r="S126" i="30"/>
  <c r="X126" i="30" s="1"/>
  <c r="Q20" i="24"/>
  <c r="V20" i="24" s="1"/>
  <c r="AA20" i="24" s="1"/>
  <c r="AN344" i="24"/>
  <c r="AO344" i="24" s="1"/>
  <c r="T55" i="24"/>
  <c r="V55" i="24" s="1"/>
  <c r="AA55" i="24" s="1"/>
  <c r="X344" i="24"/>
  <c r="K99" i="24"/>
  <c r="K81" i="24"/>
  <c r="X338" i="24"/>
  <c r="T345" i="24"/>
  <c r="V345" i="24" s="1"/>
  <c r="K83" i="24"/>
  <c r="K90" i="24"/>
  <c r="T343" i="24"/>
  <c r="V343" i="24" s="1"/>
  <c r="T335" i="24"/>
  <c r="V335" i="24" s="1"/>
  <c r="V107" i="30"/>
  <c r="K107" i="30"/>
  <c r="K103" i="30"/>
  <c r="V103" i="30"/>
  <c r="S103" i="30"/>
  <c r="X103" i="30" s="1"/>
  <c r="K60" i="30"/>
  <c r="V60" i="30"/>
  <c r="S60" i="30"/>
  <c r="X60" i="30" s="1"/>
  <c r="V66" i="30"/>
  <c r="X66" i="30" s="1"/>
  <c r="K66" i="30"/>
  <c r="S42" i="30"/>
  <c r="X42" i="30" s="1"/>
  <c r="V42" i="30"/>
  <c r="K42" i="30"/>
  <c r="K72" i="30"/>
  <c r="S72" i="30"/>
  <c r="V72" i="30"/>
  <c r="T98" i="24"/>
  <c r="Q98" i="24"/>
  <c r="S118" i="30"/>
  <c r="V118" i="30"/>
  <c r="K118" i="30"/>
  <c r="K82" i="30"/>
  <c r="V82" i="30"/>
  <c r="S82" i="30"/>
  <c r="V21" i="30"/>
  <c r="S21" i="30"/>
  <c r="K21" i="30"/>
  <c r="S19" i="30"/>
  <c r="X19" i="30" s="1"/>
  <c r="AP13" i="30"/>
  <c r="AQ13" i="30" s="1"/>
  <c r="AC13" i="30"/>
  <c r="Z13" i="30"/>
  <c r="S109" i="30"/>
  <c r="V109" i="30"/>
  <c r="K109" i="30"/>
  <c r="K105" i="30"/>
  <c r="V105" i="30"/>
  <c r="S105" i="30"/>
  <c r="X105" i="30" s="1"/>
  <c r="K39" i="30"/>
  <c r="V39" i="30"/>
  <c r="S39" i="30"/>
  <c r="X39" i="30" s="1"/>
  <c r="K58" i="30"/>
  <c r="V58" i="30"/>
  <c r="S58" i="30"/>
  <c r="X58" i="30" s="1"/>
  <c r="V57" i="30"/>
  <c r="K57" i="30"/>
  <c r="AN255" i="24"/>
  <c r="AO255" i="24" s="1"/>
  <c r="S30" i="30"/>
  <c r="X30" i="30" s="1"/>
  <c r="K30" i="30"/>
  <c r="V30" i="30"/>
  <c r="V122" i="30"/>
  <c r="X122" i="30" s="1"/>
  <c r="K122" i="30"/>
  <c r="K87" i="30"/>
  <c r="V87" i="30"/>
  <c r="S87" i="30"/>
  <c r="X41" i="24"/>
  <c r="S63" i="30"/>
  <c r="K63" i="30"/>
  <c r="V63" i="30"/>
  <c r="X76" i="30"/>
  <c r="S108" i="30"/>
  <c r="X108" i="30" s="1"/>
  <c r="K108" i="30"/>
  <c r="V108" i="30"/>
  <c r="S132" i="30"/>
  <c r="V132" i="30"/>
  <c r="X41" i="30"/>
  <c r="K78" i="24"/>
  <c r="AN99" i="24"/>
  <c r="AO99" i="24" s="1"/>
  <c r="T110" i="24"/>
  <c r="V110" i="24" s="1"/>
  <c r="K110" i="24"/>
  <c r="AP50" i="30"/>
  <c r="AQ50" i="30" s="1"/>
  <c r="Z50" i="30"/>
  <c r="AC50" i="30"/>
  <c r="S57" i="30"/>
  <c r="S99" i="30"/>
  <c r="K99" i="30"/>
  <c r="V99" i="30"/>
  <c r="K68" i="30"/>
  <c r="V68" i="30"/>
  <c r="Q90" i="24"/>
  <c r="V90" i="24" s="1"/>
  <c r="X90" i="24" s="1"/>
  <c r="K106" i="30"/>
  <c r="V106" i="30"/>
  <c r="X106" i="30" s="1"/>
  <c r="K120" i="30"/>
  <c r="S120" i="30"/>
  <c r="X120" i="30" s="1"/>
  <c r="V120" i="30"/>
  <c r="K71" i="24"/>
  <c r="T32" i="24"/>
  <c r="K416" i="24"/>
  <c r="K37" i="24"/>
  <c r="Z116" i="30"/>
  <c r="AP116" i="30"/>
  <c r="AQ116" i="30" s="1"/>
  <c r="Z35" i="30"/>
  <c r="AC35" i="30"/>
  <c r="AP35" i="30"/>
  <c r="AQ35" i="30" s="1"/>
  <c r="K26" i="30"/>
  <c r="V26" i="30"/>
  <c r="S26" i="30"/>
  <c r="T71" i="24"/>
  <c r="V71" i="24" s="1"/>
  <c r="AA71" i="24" s="1"/>
  <c r="AN97" i="24"/>
  <c r="AO97" i="24" s="1"/>
  <c r="K55" i="24"/>
  <c r="AA97" i="24"/>
  <c r="K100" i="24"/>
  <c r="T337" i="24"/>
  <c r="V337" i="24" s="1"/>
  <c r="X337" i="24" s="1"/>
  <c r="Q81" i="24"/>
  <c r="V81" i="24" s="1"/>
  <c r="X81" i="24" s="1"/>
  <c r="V95" i="30"/>
  <c r="S95" i="30"/>
  <c r="K95" i="30"/>
  <c r="K24" i="30"/>
  <c r="V24" i="30"/>
  <c r="S24" i="30"/>
  <c r="X24" i="30" s="1"/>
  <c r="V88" i="30"/>
  <c r="K88" i="30"/>
  <c r="S88" i="30"/>
  <c r="X88" i="30" s="1"/>
  <c r="V70" i="30"/>
  <c r="S70" i="30"/>
  <c r="X70" i="30" s="1"/>
  <c r="K70" i="30"/>
  <c r="V74" i="30"/>
  <c r="S74" i="30"/>
  <c r="K74" i="30"/>
  <c r="V97" i="30"/>
  <c r="S97" i="30"/>
  <c r="X97" i="30" s="1"/>
  <c r="K97" i="30"/>
  <c r="K80" i="24"/>
  <c r="Q80" i="24"/>
  <c r="V80" i="24" s="1"/>
  <c r="AA80" i="24" s="1"/>
  <c r="S117" i="30"/>
  <c r="V117" i="30"/>
  <c r="K117" i="30"/>
  <c r="K61" i="30"/>
  <c r="V61" i="30"/>
  <c r="S61" i="30"/>
  <c r="S112" i="30"/>
  <c r="V112" i="30"/>
  <c r="K112" i="30"/>
  <c r="AP45" i="30"/>
  <c r="AQ45" i="30" s="1"/>
  <c r="AC45" i="30"/>
  <c r="Z45" i="30"/>
  <c r="V123" i="30"/>
  <c r="S123" i="30"/>
  <c r="X123" i="30" s="1"/>
  <c r="K123" i="30"/>
  <c r="V64" i="30"/>
  <c r="X64" i="30" s="1"/>
  <c r="K64" i="30"/>
  <c r="AC100" i="30"/>
  <c r="Z100" i="30"/>
  <c r="AP100" i="30"/>
  <c r="AQ100" i="30" s="1"/>
  <c r="V40" i="30"/>
  <c r="K40" i="30"/>
  <c r="S40" i="30"/>
  <c r="X99" i="24"/>
  <c r="AA62" i="24"/>
  <c r="V34" i="30"/>
  <c r="S34" i="30"/>
  <c r="X34" i="30" s="1"/>
  <c r="Q56" i="24"/>
  <c r="V77" i="30"/>
  <c r="S77" i="30"/>
  <c r="K77" i="30"/>
  <c r="S110" i="30"/>
  <c r="K110" i="30"/>
  <c r="V110" i="30"/>
  <c r="K90" i="30"/>
  <c r="S90" i="30"/>
  <c r="V90" i="30"/>
  <c r="Z124" i="30"/>
  <c r="AC124" i="30"/>
  <c r="AP124" i="30"/>
  <c r="AQ124" i="30" s="1"/>
  <c r="AC102" i="30"/>
  <c r="Z102" i="30"/>
  <c r="AP102" i="30"/>
  <c r="AQ102" i="30" s="1"/>
  <c r="S85" i="30"/>
  <c r="V85" i="30"/>
  <c r="K85" i="30"/>
  <c r="AA416" i="24"/>
  <c r="T49" i="24"/>
  <c r="K47" i="30"/>
  <c r="V47" i="30"/>
  <c r="X47" i="30" s="1"/>
  <c r="S98" i="30"/>
  <c r="V98" i="30"/>
  <c r="K98" i="30"/>
  <c r="S16" i="30"/>
  <c r="K16" i="30"/>
  <c r="V16" i="30"/>
  <c r="AA341" i="24"/>
  <c r="AA34" i="24"/>
  <c r="V38" i="24"/>
  <c r="X38" i="24" s="1"/>
  <c r="Q58" i="24"/>
  <c r="K344" i="24"/>
  <c r="K97" i="24"/>
  <c r="T59" i="24"/>
  <c r="V59" i="24" s="1"/>
  <c r="S86" i="30"/>
  <c r="X86" i="30" s="1"/>
  <c r="S52" i="30"/>
  <c r="X52" i="30" s="1"/>
  <c r="S56" i="30"/>
  <c r="X56" i="30" s="1"/>
  <c r="K56" i="30"/>
  <c r="V56" i="30"/>
  <c r="S107" i="30"/>
  <c r="X107" i="30" s="1"/>
  <c r="AP15" i="30"/>
  <c r="AQ15" i="30" s="1"/>
  <c r="AC15" i="30"/>
  <c r="K76" i="30"/>
  <c r="V76" i="30"/>
  <c r="V133" i="30"/>
  <c r="S133" i="30"/>
  <c r="X133" i="30" s="1"/>
  <c r="K18" i="30"/>
  <c r="V18" i="30"/>
  <c r="S18" i="30"/>
  <c r="S22" i="30"/>
  <c r="V22" i="30"/>
  <c r="K22" i="30"/>
  <c r="K93" i="30"/>
  <c r="S93" i="30"/>
  <c r="V93" i="30"/>
  <c r="V115" i="30"/>
  <c r="S115" i="30"/>
  <c r="X115" i="30" s="1"/>
  <c r="K115" i="30"/>
  <c r="S46" i="30"/>
  <c r="X46" i="30" s="1"/>
  <c r="K46" i="30"/>
  <c r="V46" i="30"/>
  <c r="V33" i="30"/>
  <c r="S33" i="30"/>
  <c r="X33" i="30" s="1"/>
  <c r="V44" i="30"/>
  <c r="K44" i="30"/>
  <c r="S44" i="30"/>
  <c r="X44" i="30" s="1"/>
  <c r="K91" i="30"/>
  <c r="V91" i="30"/>
  <c r="S91" i="30"/>
  <c r="X91" i="30" s="1"/>
  <c r="V59" i="30"/>
  <c r="K59" i="30"/>
  <c r="S59" i="30"/>
  <c r="X78" i="30"/>
  <c r="AN75" i="24"/>
  <c r="AO75" i="24" s="1"/>
  <c r="X65" i="24"/>
  <c r="AA75" i="24"/>
  <c r="T267" i="24"/>
  <c r="K267" i="24"/>
  <c r="V108" i="24"/>
  <c r="AA108" i="24" s="1"/>
  <c r="V114" i="24"/>
  <c r="AA114" i="24" s="1"/>
  <c r="X250" i="24"/>
  <c r="O7" i="25"/>
  <c r="V422" i="24"/>
  <c r="AA422" i="24" s="1"/>
  <c r="AA254" i="24"/>
  <c r="AN254" i="24"/>
  <c r="AO254" i="24" s="1"/>
  <c r="X73" i="24"/>
  <c r="AA73" i="24"/>
  <c r="AN65" i="24"/>
  <c r="AO65" i="24" s="1"/>
  <c r="AN64" i="24"/>
  <c r="AO64" i="24" s="1"/>
  <c r="AA64" i="24"/>
  <c r="X64" i="24"/>
  <c r="AA69" i="24"/>
  <c r="X69" i="24"/>
  <c r="AN69" i="24"/>
  <c r="AO69" i="24" s="1"/>
  <c r="AN259" i="24"/>
  <c r="AO259" i="24" s="1"/>
  <c r="AA259" i="24"/>
  <c r="X259" i="24"/>
  <c r="H9" i="25"/>
  <c r="AN23" i="24"/>
  <c r="AO23" i="24" s="1"/>
  <c r="AA23" i="24"/>
  <c r="X23" i="24"/>
  <c r="X66" i="24"/>
  <c r="AA66" i="24"/>
  <c r="AN66" i="24"/>
  <c r="AO66" i="24" s="1"/>
  <c r="V244" i="24"/>
  <c r="X244" i="24" s="1"/>
  <c r="AA46" i="24"/>
  <c r="X421" i="24"/>
  <c r="AN82" i="24"/>
  <c r="AO82" i="24" s="1"/>
  <c r="X82" i="24"/>
  <c r="AA82" i="24"/>
  <c r="AA389" i="24"/>
  <c r="AN389" i="24"/>
  <c r="AO389" i="24" s="1"/>
  <c r="X389" i="24"/>
  <c r="AN46" i="24"/>
  <c r="AO46" i="24" s="1"/>
  <c r="AN421" i="24"/>
  <c r="AO421" i="24" s="1"/>
  <c r="V47" i="24"/>
  <c r="AA47" i="24" s="1"/>
  <c r="X50" i="24"/>
  <c r="AN50" i="24"/>
  <c r="AO50" i="24" s="1"/>
  <c r="AA50" i="24"/>
  <c r="X332" i="24"/>
  <c r="AA332" i="24"/>
  <c r="AN332" i="24"/>
  <c r="AO332" i="24" s="1"/>
  <c r="X327" i="24"/>
  <c r="AN327" i="24"/>
  <c r="AO327" i="24" s="1"/>
  <c r="V28" i="24"/>
  <c r="AN28" i="24" s="1"/>
  <c r="AO28" i="24" s="1"/>
  <c r="AN346" i="24"/>
  <c r="AO346" i="24" s="1"/>
  <c r="X346" i="24"/>
  <c r="AA346" i="24"/>
  <c r="AA112" i="24"/>
  <c r="AN112" i="24"/>
  <c r="AO112" i="24" s="1"/>
  <c r="X112" i="24"/>
  <c r="AA342" i="24"/>
  <c r="X342" i="24"/>
  <c r="AN342" i="24"/>
  <c r="AO342" i="24" s="1"/>
  <c r="X424" i="24"/>
  <c r="AA424" i="24"/>
  <c r="AN424" i="24"/>
  <c r="AO424" i="24" s="1"/>
  <c r="AN428" i="24"/>
  <c r="AO428" i="24" s="1"/>
  <c r="AA428" i="24"/>
  <c r="X428" i="24"/>
  <c r="X426" i="24"/>
  <c r="AA426" i="24"/>
  <c r="AN426" i="24"/>
  <c r="AO426" i="24" s="1"/>
  <c r="AN425" i="24"/>
  <c r="AO425" i="24" s="1"/>
  <c r="AA425" i="24"/>
  <c r="X425" i="24"/>
  <c r="AN17" i="24"/>
  <c r="AO17" i="24" s="1"/>
  <c r="AA17" i="24"/>
  <c r="V420" i="24"/>
  <c r="AA423" i="24"/>
  <c r="X423" i="24"/>
  <c r="AN423" i="24"/>
  <c r="AO423" i="24" s="1"/>
  <c r="AA427" i="24"/>
  <c r="AN427" i="24"/>
  <c r="AO427" i="24" s="1"/>
  <c r="X427" i="24"/>
  <c r="V45" i="24" l="1"/>
  <c r="AN45" i="24" s="1"/>
  <c r="AO45" i="24" s="1"/>
  <c r="AN55" i="24"/>
  <c r="AO55" i="24" s="1"/>
  <c r="AN334" i="24"/>
  <c r="AO334" i="24" s="1"/>
  <c r="X334" i="24"/>
  <c r="X102" i="24"/>
  <c r="X55" i="24"/>
  <c r="AA31" i="24"/>
  <c r="B6" i="25" s="1"/>
  <c r="X92" i="24"/>
  <c r="AA79" i="24"/>
  <c r="AN102" i="24"/>
  <c r="AO102" i="24" s="1"/>
  <c r="X83" i="24"/>
  <c r="X31" i="24"/>
  <c r="AA43" i="24"/>
  <c r="V89" i="24"/>
  <c r="X89" i="24" s="1"/>
  <c r="AN43" i="24"/>
  <c r="AO43" i="24" s="1"/>
  <c r="AA390" i="24"/>
  <c r="V21" i="24"/>
  <c r="AN21" i="24" s="1"/>
  <c r="AO21" i="24" s="1"/>
  <c r="AN18" i="24"/>
  <c r="AO18" i="24" s="1"/>
  <c r="AA18" i="24"/>
  <c r="AA340" i="24"/>
  <c r="AN20" i="24"/>
  <c r="AO20" i="24" s="1"/>
  <c r="AN113" i="24"/>
  <c r="AO113" i="24" s="1"/>
  <c r="X22" i="24"/>
  <c r="X36" i="24"/>
  <c r="X47" i="24"/>
  <c r="V321" i="24"/>
  <c r="AN321" i="24" s="1"/>
  <c r="AO321" i="24" s="1"/>
  <c r="AN83" i="24"/>
  <c r="AO83" i="24" s="1"/>
  <c r="AA113" i="24"/>
  <c r="AA52" i="24"/>
  <c r="X20" i="24"/>
  <c r="X39" i="24"/>
  <c r="AN96" i="24"/>
  <c r="AO96" i="24" s="1"/>
  <c r="X88" i="24"/>
  <c r="V51" i="24"/>
  <c r="X51" i="24" s="1"/>
  <c r="AN26" i="24"/>
  <c r="AO26" i="24" s="1"/>
  <c r="V67" i="24"/>
  <c r="X67" i="24" s="1"/>
  <c r="AN92" i="24"/>
  <c r="AO92" i="24" s="1"/>
  <c r="AN101" i="24"/>
  <c r="AO101" i="24" s="1"/>
  <c r="AA53" i="24"/>
  <c r="AN53" i="24"/>
  <c r="AO53" i="24" s="1"/>
  <c r="AN329" i="24"/>
  <c r="AO329" i="24" s="1"/>
  <c r="V95" i="24"/>
  <c r="AN95" i="24" s="1"/>
  <c r="AO95" i="24" s="1"/>
  <c r="AN22" i="24"/>
  <c r="AO22" i="24" s="1"/>
  <c r="AA329" i="24"/>
  <c r="AA417" i="24"/>
  <c r="AA96" i="24"/>
  <c r="X79" i="24"/>
  <c r="V74" i="24"/>
  <c r="AA74" i="24" s="1"/>
  <c r="AN52" i="24"/>
  <c r="AO52" i="24" s="1"/>
  <c r="X101" i="24"/>
  <c r="V19" i="24"/>
  <c r="X19" i="24" s="1"/>
  <c r="V77" i="24"/>
  <c r="AN77" i="24" s="1"/>
  <c r="AO77" i="24" s="1"/>
  <c r="AN417" i="24"/>
  <c r="AO417" i="24" s="1"/>
  <c r="AA37" i="24"/>
  <c r="AN104" i="24"/>
  <c r="AO104" i="24" s="1"/>
  <c r="X71" i="24"/>
  <c r="AA94" i="24"/>
  <c r="AA38" i="24"/>
  <c r="E6" i="25" s="1"/>
  <c r="AN38" i="24"/>
  <c r="AO38" i="24" s="1"/>
  <c r="AN37" i="24"/>
  <c r="AO37" i="24" s="1"/>
  <c r="AN44" i="24"/>
  <c r="AO44" i="24" s="1"/>
  <c r="AN71" i="24"/>
  <c r="AO71" i="24" s="1"/>
  <c r="AN48" i="24"/>
  <c r="AO48" i="24" s="1"/>
  <c r="V58" i="24"/>
  <c r="AA58" i="24" s="1"/>
  <c r="AN90" i="24"/>
  <c r="AO90" i="24" s="1"/>
  <c r="AA84" i="24"/>
  <c r="X84" i="24"/>
  <c r="AA35" i="24"/>
  <c r="X87" i="24"/>
  <c r="X48" i="24"/>
  <c r="AN340" i="24"/>
  <c r="AO340" i="24" s="1"/>
  <c r="V32" i="24"/>
  <c r="AN32" i="24" s="1"/>
  <c r="AO32" i="24" s="1"/>
  <c r="V76" i="24"/>
  <c r="AA76" i="24" s="1"/>
  <c r="V91" i="24"/>
  <c r="AN91" i="24" s="1"/>
  <c r="AO91" i="24" s="1"/>
  <c r="AN336" i="24"/>
  <c r="AO336" i="24" s="1"/>
  <c r="X336" i="24"/>
  <c r="X85" i="24"/>
  <c r="AN85" i="24"/>
  <c r="AO85" i="24" s="1"/>
  <c r="AA85" i="24"/>
  <c r="AA90" i="24"/>
  <c r="AA413" i="24"/>
  <c r="AA70" i="24"/>
  <c r="X413" i="24"/>
  <c r="X70" i="24"/>
  <c r="X35" i="24"/>
  <c r="X94" i="24"/>
  <c r="AA29" i="24"/>
  <c r="V49" i="24"/>
  <c r="AN49" i="24" s="1"/>
  <c r="AO49" i="24" s="1"/>
  <c r="AN86" i="24"/>
  <c r="AO86" i="24" s="1"/>
  <c r="X86" i="24"/>
  <c r="X80" i="24"/>
  <c r="X104" i="24"/>
  <c r="AN80" i="24"/>
  <c r="AO80" i="24" s="1"/>
  <c r="AA40" i="24"/>
  <c r="AN36" i="24"/>
  <c r="AO36" i="24" s="1"/>
  <c r="X40" i="24"/>
  <c r="V111" i="24"/>
  <c r="X111" i="24" s="1"/>
  <c r="AP122" i="30"/>
  <c r="AQ122" i="30" s="1"/>
  <c r="AC122" i="30"/>
  <c r="Z122" i="30"/>
  <c r="AP64" i="30"/>
  <c r="AQ64" i="30" s="1"/>
  <c r="AC64" i="30"/>
  <c r="Z64" i="30"/>
  <c r="AC66" i="30"/>
  <c r="Z66" i="30"/>
  <c r="AP66" i="30"/>
  <c r="AQ66" i="30" s="1"/>
  <c r="AP31" i="30"/>
  <c r="AQ31" i="30" s="1"/>
  <c r="AC31" i="30"/>
  <c r="Z47" i="30"/>
  <c r="AC47" i="30"/>
  <c r="AP47" i="30"/>
  <c r="AQ47" i="30" s="1"/>
  <c r="AA110" i="24"/>
  <c r="X110" i="24"/>
  <c r="AN110" i="24"/>
  <c r="AO110" i="24" s="1"/>
  <c r="AP106" i="30"/>
  <c r="AQ106" i="30" s="1"/>
  <c r="AC106" i="30"/>
  <c r="Z106" i="30"/>
  <c r="AC54" i="30"/>
  <c r="Z54" i="30"/>
  <c r="AP54" i="30"/>
  <c r="AQ54" i="30" s="1"/>
  <c r="AC86" i="30"/>
  <c r="Z86" i="30"/>
  <c r="AP86" i="30"/>
  <c r="AQ86" i="30" s="1"/>
  <c r="AA343" i="24"/>
  <c r="AN343" i="24"/>
  <c r="AO343" i="24" s="1"/>
  <c r="X343" i="24"/>
  <c r="AP37" i="30"/>
  <c r="AQ37" i="30" s="1"/>
  <c r="Z37" i="30"/>
  <c r="AC37" i="30"/>
  <c r="Z94" i="30"/>
  <c r="AC94" i="30"/>
  <c r="AP94" i="30"/>
  <c r="AQ94" i="30" s="1"/>
  <c r="X59" i="24"/>
  <c r="AA59" i="24"/>
  <c r="AN59" i="24"/>
  <c r="AO59" i="24" s="1"/>
  <c r="AP73" i="30"/>
  <c r="AQ73" i="30" s="1"/>
  <c r="AC73" i="30"/>
  <c r="Z73" i="30"/>
  <c r="AC130" i="30"/>
  <c r="AP130" i="30"/>
  <c r="AQ130" i="30" s="1"/>
  <c r="X117" i="30"/>
  <c r="AP51" i="30"/>
  <c r="AQ51" i="30" s="1"/>
  <c r="Z51" i="30"/>
  <c r="AC51" i="30"/>
  <c r="AC83" i="30"/>
  <c r="Z83" i="30"/>
  <c r="AP83" i="30"/>
  <c r="AQ83" i="30" s="1"/>
  <c r="AC127" i="30"/>
  <c r="AP127" i="30"/>
  <c r="AQ127" i="30" s="1"/>
  <c r="Z111" i="30"/>
  <c r="AC111" i="30"/>
  <c r="AP111" i="30"/>
  <c r="AQ111" i="30" s="1"/>
  <c r="AA44" i="24"/>
  <c r="AA87" i="24"/>
  <c r="X40" i="30"/>
  <c r="X87" i="30"/>
  <c r="V98" i="24"/>
  <c r="X38" i="30"/>
  <c r="AP58" i="30"/>
  <c r="AQ58" i="30" s="1"/>
  <c r="AC58" i="30"/>
  <c r="Z58" i="30"/>
  <c r="Z41" i="30"/>
  <c r="AC41" i="30"/>
  <c r="AP41" i="30"/>
  <c r="AQ41" i="30" s="1"/>
  <c r="AC33" i="30"/>
  <c r="AP33" i="30"/>
  <c r="AQ33" i="30" s="1"/>
  <c r="AC39" i="30"/>
  <c r="AP39" i="30"/>
  <c r="AQ39" i="30" s="1"/>
  <c r="Z39" i="30"/>
  <c r="AP75" i="30"/>
  <c r="AQ75" i="30" s="1"/>
  <c r="AC75" i="30"/>
  <c r="Z75" i="30"/>
  <c r="AA88" i="24"/>
  <c r="AA81" i="24"/>
  <c r="X22" i="30"/>
  <c r="X85" i="30"/>
  <c r="X110" i="30"/>
  <c r="X132" i="30"/>
  <c r="X72" i="30"/>
  <c r="X129" i="30"/>
  <c r="Z12" i="30"/>
  <c r="AC12" i="30"/>
  <c r="AP12" i="30"/>
  <c r="AQ12" i="30" s="1"/>
  <c r="X101" i="30"/>
  <c r="AP133" i="30"/>
  <c r="AQ133" i="30" s="1"/>
  <c r="AC133" i="30"/>
  <c r="AP30" i="30"/>
  <c r="AQ30" i="30" s="1"/>
  <c r="AC30" i="30"/>
  <c r="AP42" i="30"/>
  <c r="AQ42" i="30" s="1"/>
  <c r="AC42" i="30"/>
  <c r="Z42" i="30"/>
  <c r="Z23" i="30"/>
  <c r="AP23" i="30"/>
  <c r="AQ23" i="30" s="1"/>
  <c r="AC23" i="30"/>
  <c r="AP28" i="30"/>
  <c r="AQ28" i="30" s="1"/>
  <c r="AC28" i="30"/>
  <c r="AC49" i="30"/>
  <c r="Z49" i="30"/>
  <c r="AP49" i="30"/>
  <c r="AQ49" i="30" s="1"/>
  <c r="AC89" i="30"/>
  <c r="Z89" i="30"/>
  <c r="AP89" i="30"/>
  <c r="AQ89" i="30" s="1"/>
  <c r="Z115" i="30"/>
  <c r="AP115" i="30"/>
  <c r="AQ115" i="30" s="1"/>
  <c r="X98" i="30"/>
  <c r="AN72" i="24"/>
  <c r="AO72" i="24" s="1"/>
  <c r="AC123" i="30"/>
  <c r="Z123" i="30"/>
  <c r="AP123" i="30"/>
  <c r="AQ123" i="30" s="1"/>
  <c r="AC14" i="30"/>
  <c r="AP14" i="30"/>
  <c r="AQ14" i="30" s="1"/>
  <c r="AP88" i="30"/>
  <c r="AQ88" i="30" s="1"/>
  <c r="AC88" i="30"/>
  <c r="Z88" i="30"/>
  <c r="X109" i="30"/>
  <c r="AN345" i="24"/>
  <c r="AO345" i="24" s="1"/>
  <c r="X345" i="24"/>
  <c r="AA345" i="24"/>
  <c r="X24" i="24"/>
  <c r="AN24" i="24"/>
  <c r="AO24" i="24" s="1"/>
  <c r="X65" i="30"/>
  <c r="Z44" i="30"/>
  <c r="AC44" i="30"/>
  <c r="AP44" i="30"/>
  <c r="AQ44" i="30" s="1"/>
  <c r="X90" i="30"/>
  <c r="AP103" i="30"/>
  <c r="AQ103" i="30" s="1"/>
  <c r="Z103" i="30"/>
  <c r="AC103" i="30"/>
  <c r="Z81" i="30"/>
  <c r="AC81" i="30"/>
  <c r="AP81" i="30"/>
  <c r="AQ81" i="30" s="1"/>
  <c r="AA337" i="24"/>
  <c r="AP107" i="30"/>
  <c r="AQ107" i="30" s="1"/>
  <c r="Z107" i="30"/>
  <c r="AC107" i="30"/>
  <c r="Z97" i="30"/>
  <c r="AC97" i="30"/>
  <c r="AP97" i="30"/>
  <c r="AQ97" i="30" s="1"/>
  <c r="AC96" i="30"/>
  <c r="AP96" i="30"/>
  <c r="AQ96" i="30" s="1"/>
  <c r="S9" i="30"/>
  <c r="Q10" i="24"/>
  <c r="AN39" i="24"/>
  <c r="AO39" i="24" s="1"/>
  <c r="AN81" i="24"/>
  <c r="AO81" i="24" s="1"/>
  <c r="AN337" i="24"/>
  <c r="AO337" i="24" s="1"/>
  <c r="Z78" i="30"/>
  <c r="AC78" i="30"/>
  <c r="AP78" i="30"/>
  <c r="AQ78" i="30" s="1"/>
  <c r="X18" i="30"/>
  <c r="X112" i="30"/>
  <c r="X99" i="30"/>
  <c r="X21" i="30"/>
  <c r="AC62" i="30"/>
  <c r="AP62" i="30"/>
  <c r="AQ62" i="30" s="1"/>
  <c r="Z62" i="30"/>
  <c r="AP104" i="30"/>
  <c r="AQ104" i="30" s="1"/>
  <c r="AC104" i="30"/>
  <c r="Z104" i="30"/>
  <c r="AP27" i="30"/>
  <c r="AQ27" i="30" s="1"/>
  <c r="AC27" i="30"/>
  <c r="AC76" i="30"/>
  <c r="Z76" i="30"/>
  <c r="AP76" i="30"/>
  <c r="AQ76" i="30" s="1"/>
  <c r="AC71" i="30"/>
  <c r="Z71" i="30"/>
  <c r="AP71" i="30"/>
  <c r="AQ71" i="30" s="1"/>
  <c r="AP32" i="30"/>
  <c r="AQ32" i="30" s="1"/>
  <c r="AC32" i="30"/>
  <c r="AC91" i="30"/>
  <c r="Z91" i="30"/>
  <c r="AP91" i="30"/>
  <c r="AQ91" i="30" s="1"/>
  <c r="AC34" i="30"/>
  <c r="AP34" i="30"/>
  <c r="AQ34" i="30" s="1"/>
  <c r="Z70" i="30"/>
  <c r="AP70" i="30"/>
  <c r="AQ70" i="30" s="1"/>
  <c r="AC70" i="30"/>
  <c r="AC29" i="30"/>
  <c r="AP29" i="30"/>
  <c r="AQ29" i="30" s="1"/>
  <c r="AC126" i="30"/>
  <c r="AP126" i="30"/>
  <c r="AQ126" i="30" s="1"/>
  <c r="AC25" i="30"/>
  <c r="AP25" i="30"/>
  <c r="AQ25" i="30" s="1"/>
  <c r="Z25" i="30"/>
  <c r="X63" i="30"/>
  <c r="Z60" i="30"/>
  <c r="AC60" i="30"/>
  <c r="AP60" i="30"/>
  <c r="AQ60" i="30" s="1"/>
  <c r="Z68" i="30"/>
  <c r="AC68" i="30"/>
  <c r="AP68" i="30"/>
  <c r="AQ68" i="30" s="1"/>
  <c r="X93" i="30"/>
  <c r="AA27" i="24"/>
  <c r="X21" i="24"/>
  <c r="X59" i="30"/>
  <c r="Z56" i="30"/>
  <c r="AP56" i="30"/>
  <c r="AQ56" i="30" s="1"/>
  <c r="AC56" i="30"/>
  <c r="X16" i="30"/>
  <c r="X77" i="30"/>
  <c r="X61" i="30"/>
  <c r="X74" i="30"/>
  <c r="X26" i="30"/>
  <c r="X57" i="30"/>
  <c r="AC105" i="30"/>
  <c r="Z105" i="30"/>
  <c r="AP105" i="30"/>
  <c r="AQ105" i="30" s="1"/>
  <c r="AA339" i="24"/>
  <c r="X339" i="24"/>
  <c r="AN339" i="24"/>
  <c r="AO339" i="24" s="1"/>
  <c r="X67" i="30"/>
  <c r="AC53" i="30"/>
  <c r="Z53" i="30"/>
  <c r="AP53" i="30"/>
  <c r="AQ53" i="30" s="1"/>
  <c r="Z69" i="30"/>
  <c r="AC69" i="30"/>
  <c r="AP69" i="30"/>
  <c r="AQ69" i="30" s="1"/>
  <c r="X118" i="30"/>
  <c r="AC24" i="30"/>
  <c r="AP24" i="30"/>
  <c r="AQ24" i="30" s="1"/>
  <c r="Z24" i="30"/>
  <c r="AC79" i="30"/>
  <c r="Z79" i="30"/>
  <c r="AP79" i="30"/>
  <c r="AQ79" i="30" s="1"/>
  <c r="AC55" i="30"/>
  <c r="AP55" i="30"/>
  <c r="AQ55" i="30" s="1"/>
  <c r="Z55" i="30"/>
  <c r="AP19" i="30"/>
  <c r="AQ19" i="30" s="1"/>
  <c r="AC19" i="30"/>
  <c r="Z19" i="30"/>
  <c r="AP46" i="30"/>
  <c r="AQ46" i="30" s="1"/>
  <c r="Z46" i="30"/>
  <c r="AC46" i="30"/>
  <c r="AC52" i="30"/>
  <c r="AP52" i="30"/>
  <c r="AQ52" i="30" s="1"/>
  <c r="Z52" i="30"/>
  <c r="X95" i="30"/>
  <c r="AC120" i="30"/>
  <c r="Z120" i="30"/>
  <c r="AP120" i="30"/>
  <c r="AQ120" i="30" s="1"/>
  <c r="AC108" i="30"/>
  <c r="Z108" i="30"/>
  <c r="AP108" i="30"/>
  <c r="AQ108" i="30" s="1"/>
  <c r="X82" i="30"/>
  <c r="AN335" i="24"/>
  <c r="AO335" i="24" s="1"/>
  <c r="X335" i="24"/>
  <c r="AA335" i="24"/>
  <c r="X128" i="30"/>
  <c r="X121" i="30"/>
  <c r="AN108" i="24"/>
  <c r="AO108" i="24" s="1"/>
  <c r="X72" i="24"/>
  <c r="X45" i="24"/>
  <c r="X108" i="24"/>
  <c r="AN109" i="24"/>
  <c r="AO109" i="24" s="1"/>
  <c r="X109" i="24"/>
  <c r="X422" i="24"/>
  <c r="AA45" i="24"/>
  <c r="X114" i="24"/>
  <c r="AN422" i="24"/>
  <c r="AO422" i="24" s="1"/>
  <c r="AN47" i="24"/>
  <c r="AO47" i="24" s="1"/>
  <c r="X25" i="24"/>
  <c r="AA264" i="24"/>
  <c r="AA33" i="24"/>
  <c r="X33" i="24"/>
  <c r="AN25" i="24"/>
  <c r="AO25" i="24" s="1"/>
  <c r="AA244" i="24"/>
  <c r="AN244" i="24"/>
  <c r="AO244" i="24" s="1"/>
  <c r="X100" i="24"/>
  <c r="AA100" i="24"/>
  <c r="AN100" i="24"/>
  <c r="AO100" i="24" s="1"/>
  <c r="AA28" i="24"/>
  <c r="AN78" i="24"/>
  <c r="AO78" i="24" s="1"/>
  <c r="X78" i="24"/>
  <c r="AA78" i="24"/>
  <c r="AA420" i="24"/>
  <c r="X420" i="24"/>
  <c r="AN420" i="24"/>
  <c r="AO420" i="24" s="1"/>
  <c r="AA67" i="24" l="1"/>
  <c r="AA51" i="24"/>
  <c r="AN51" i="24"/>
  <c r="AO51" i="24" s="1"/>
  <c r="AA89" i="24"/>
  <c r="AN89" i="24"/>
  <c r="AO89" i="24" s="1"/>
  <c r="AN76" i="24"/>
  <c r="AO76" i="24" s="1"/>
  <c r="X32" i="24"/>
  <c r="AA32" i="24"/>
  <c r="AA21" i="24"/>
  <c r="AA111" i="24"/>
  <c r="AA321" i="24"/>
  <c r="X321" i="24"/>
  <c r="AN74" i="24"/>
  <c r="AO74" i="24" s="1"/>
  <c r="X76" i="24"/>
  <c r="AN67" i="24"/>
  <c r="AO67" i="24" s="1"/>
  <c r="X49" i="24"/>
  <c r="AN58" i="24"/>
  <c r="AO58" i="24" s="1"/>
  <c r="X91" i="24"/>
  <c r="X95" i="24"/>
  <c r="N6" i="25"/>
  <c r="X74" i="24"/>
  <c r="V11" i="24"/>
  <c r="AA77" i="24"/>
  <c r="E5" i="25" s="1"/>
  <c r="N5" i="25" s="1"/>
  <c r="AA19" i="24"/>
  <c r="AN19" i="24"/>
  <c r="AO19" i="24" s="1"/>
  <c r="X77" i="24"/>
  <c r="AA95" i="24"/>
  <c r="AN111" i="24"/>
  <c r="AO111" i="24" s="1"/>
  <c r="X58" i="24"/>
  <c r="AA91" i="24"/>
  <c r="E3" i="25" s="1"/>
  <c r="AA49" i="24"/>
  <c r="AP74" i="30"/>
  <c r="AQ74" i="30" s="1"/>
  <c r="AC74" i="30"/>
  <c r="Z74" i="30"/>
  <c r="AP98" i="30"/>
  <c r="AQ98" i="30" s="1"/>
  <c r="AC98" i="30"/>
  <c r="Z98" i="30"/>
  <c r="AP121" i="30"/>
  <c r="AQ121" i="30" s="1"/>
  <c r="AC121" i="30"/>
  <c r="Z121" i="30"/>
  <c r="AC95" i="30"/>
  <c r="Z95" i="30"/>
  <c r="AP95" i="30"/>
  <c r="AQ95" i="30" s="1"/>
  <c r="AP61" i="30"/>
  <c r="AQ61" i="30" s="1"/>
  <c r="Z61" i="30"/>
  <c r="AC61" i="30"/>
  <c r="AC21" i="30"/>
  <c r="Z21" i="30"/>
  <c r="AP21" i="30"/>
  <c r="AQ21" i="30" s="1"/>
  <c r="AC93" i="30"/>
  <c r="Z93" i="30"/>
  <c r="AP93" i="30"/>
  <c r="AQ93" i="30" s="1"/>
  <c r="AC77" i="30"/>
  <c r="Z77" i="30"/>
  <c r="AP77" i="30"/>
  <c r="AQ77" i="30" s="1"/>
  <c r="AC129" i="30"/>
  <c r="AP129" i="30"/>
  <c r="AQ129" i="30" s="1"/>
  <c r="AC38" i="30"/>
  <c r="Z38" i="30"/>
  <c r="AP38" i="30"/>
  <c r="AQ38" i="30" s="1"/>
  <c r="AC16" i="30"/>
  <c r="AP16" i="30"/>
  <c r="AQ16" i="30" s="1"/>
  <c r="AP72" i="30"/>
  <c r="AQ72" i="30" s="1"/>
  <c r="AC72" i="30"/>
  <c r="Z72" i="30"/>
  <c r="Z18" i="30"/>
  <c r="AC18" i="30"/>
  <c r="AP18" i="30"/>
  <c r="AQ18" i="30" s="1"/>
  <c r="AP90" i="30"/>
  <c r="AQ90" i="30" s="1"/>
  <c r="Z90" i="30"/>
  <c r="AC90" i="30"/>
  <c r="AP132" i="30"/>
  <c r="AQ132" i="30" s="1"/>
  <c r="AC132" i="30"/>
  <c r="AP87" i="30"/>
  <c r="AQ87" i="30" s="1"/>
  <c r="AC87" i="30"/>
  <c r="Z87" i="30"/>
  <c r="AP118" i="30"/>
  <c r="AQ118" i="30" s="1"/>
  <c r="Z118" i="30"/>
  <c r="AC118" i="30"/>
  <c r="AC57" i="30"/>
  <c r="Z57" i="30"/>
  <c r="AP57" i="30"/>
  <c r="AQ57" i="30" s="1"/>
  <c r="AP26" i="30"/>
  <c r="AQ26" i="30" s="1"/>
  <c r="Z26" i="30"/>
  <c r="AC26" i="30"/>
  <c r="X10" i="30"/>
  <c r="AP128" i="30"/>
  <c r="AQ128" i="30" s="1"/>
  <c r="AC128" i="30"/>
  <c r="Z63" i="30"/>
  <c r="AP63" i="30"/>
  <c r="AQ63" i="30" s="1"/>
  <c r="AC63" i="30"/>
  <c r="Z110" i="30"/>
  <c r="AC110" i="30"/>
  <c r="AP110" i="30"/>
  <c r="AQ110" i="30" s="1"/>
  <c r="Z40" i="30"/>
  <c r="AC40" i="30"/>
  <c r="AP40" i="30"/>
  <c r="AQ40" i="30" s="1"/>
  <c r="AP65" i="30"/>
  <c r="AQ65" i="30" s="1"/>
  <c r="Z65" i="30"/>
  <c r="AC65" i="30"/>
  <c r="AC101" i="30"/>
  <c r="AP101" i="30"/>
  <c r="AQ101" i="30" s="1"/>
  <c r="Z101" i="30"/>
  <c r="AP85" i="30"/>
  <c r="AQ85" i="30" s="1"/>
  <c r="AC85" i="30"/>
  <c r="Z85" i="30"/>
  <c r="AP117" i="30"/>
  <c r="AQ117" i="30" s="1"/>
  <c r="AC117" i="30"/>
  <c r="Z117" i="30"/>
  <c r="AP99" i="30"/>
  <c r="AQ99" i="30" s="1"/>
  <c r="AC99" i="30"/>
  <c r="Z99" i="30"/>
  <c r="AP109" i="30"/>
  <c r="AQ109" i="30" s="1"/>
  <c r="Z109" i="30"/>
  <c r="AC109" i="30"/>
  <c r="AC67" i="30"/>
  <c r="Z67" i="30"/>
  <c r="AP67" i="30"/>
  <c r="AQ67" i="30" s="1"/>
  <c r="AP112" i="30"/>
  <c r="AQ112" i="30" s="1"/>
  <c r="AC112" i="30"/>
  <c r="Z112" i="30"/>
  <c r="X98" i="24"/>
  <c r="AN98" i="24"/>
  <c r="AO98" i="24" s="1"/>
  <c r="AA98" i="24"/>
  <c r="AC82" i="30"/>
  <c r="AP82" i="30"/>
  <c r="AQ82" i="30" s="1"/>
  <c r="Z82" i="30"/>
  <c r="Z59" i="30"/>
  <c r="AC59" i="30"/>
  <c r="AP59" i="30"/>
  <c r="AQ59" i="30" s="1"/>
  <c r="Z22" i="30"/>
  <c r="AP22" i="30"/>
  <c r="AQ22" i="30" s="1"/>
  <c r="AC22" i="30"/>
  <c r="B3" i="25" l="1"/>
  <c r="N3" i="25" s="1"/>
  <c r="N7" i="25" s="1"/>
  <c r="N9" i="25" s="1"/>
  <c r="E7" i="25"/>
  <c r="E9" i="25" s="1"/>
  <c r="B7" i="25" l="1"/>
  <c r="B9" i="25" s="1"/>
</calcChain>
</file>

<file path=xl/sharedStrings.xml><?xml version="1.0" encoding="utf-8"?>
<sst xmlns="http://schemas.openxmlformats.org/spreadsheetml/2006/main" count="22146" uniqueCount="817">
  <si>
    <t>CONSEJO SUPERIOR</t>
  </si>
  <si>
    <t>2.1.2.02.02.008</t>
  </si>
  <si>
    <t>NN</t>
  </si>
  <si>
    <t xml:space="preserve">SECRETARÍA GENERAL </t>
  </si>
  <si>
    <t>RODRIGO ROJAS PARDO</t>
  </si>
  <si>
    <t>OFICINA DE CONTROL INTERNO</t>
  </si>
  <si>
    <t xml:space="preserve">OFICINA JURÍDICA </t>
  </si>
  <si>
    <t>Servicios de Asesoría Jurídica</t>
  </si>
  <si>
    <t>MARTHA MIREYA PABON PÁEZ</t>
  </si>
  <si>
    <t xml:space="preserve">OFICINA DE DESARROLLO Y PLANEACIÓN </t>
  </si>
  <si>
    <t>BRC</t>
  </si>
  <si>
    <t>ICONTEC</t>
  </si>
  <si>
    <t>ASEGURAMIENTO DE LA CALIDAD</t>
  </si>
  <si>
    <t xml:space="preserve">VICERRECTORÍA ACADÉMICA </t>
  </si>
  <si>
    <t>LAURA ALEXANDRA CHAVEZ ROJAS</t>
  </si>
  <si>
    <t>2.1.2.02.02.009</t>
  </si>
  <si>
    <t>Evaluadores - Conferencistas</t>
  </si>
  <si>
    <t>Varios</t>
  </si>
  <si>
    <t>SUBDIRECCIÓN DE ADMISIONES Y REGISTRO</t>
  </si>
  <si>
    <t>VARIOS</t>
  </si>
  <si>
    <t>COMITÉ DE ASIGNACION Y RECONOCIMIENTO DE  PUNTAJE - CIARP</t>
  </si>
  <si>
    <t>DOCTORADO INTERINSTITUCIONAL EN EDUCACIÓN</t>
  </si>
  <si>
    <t>FACULTAD DE CIENCIA Y TECNOLOGÍA</t>
  </si>
  <si>
    <t>CENTRO DE EGRESADOS</t>
  </si>
  <si>
    <t>WILLIAM EZEQUIEL CASTELBLANCO CARO</t>
  </si>
  <si>
    <t>VICERRECTORÍA ADMINISTRATIVA Y FINANCIERA</t>
  </si>
  <si>
    <t>FANNY YOLANDA HERRERA MUNEVAR</t>
  </si>
  <si>
    <t>JOHAN SEBASTIAN VILLAMIZAR MORENO</t>
  </si>
  <si>
    <t>N/A</t>
  </si>
  <si>
    <t>SUBDIRECCIÓN DE SERVICIOS GENERALES</t>
  </si>
  <si>
    <t>LUIS ALFONSO SICACHA GONZALEZ</t>
  </si>
  <si>
    <t xml:space="preserve">SUBDIRECCIÓN DE GESTIÓN DE SISTEMAS DE INFORMACIÓN </t>
  </si>
  <si>
    <t>OLGER ELIAS GARAVITO MUÑOZ</t>
  </si>
  <si>
    <t>HUGO LUIS BARROS LIÑAN</t>
  </si>
  <si>
    <t>EDGAR FERNANDO VARGAS BUITRAGO</t>
  </si>
  <si>
    <t>Prestar servicios profesionales para realizar las actividades de consolidación de información para la generación de la data a utilizar en el plan estratégico de gestión de la información de la Universidad Pedagógica Nacional</t>
  </si>
  <si>
    <t>HENDRIX  SUAREZ CARDENAS</t>
  </si>
  <si>
    <t>GAMBA RONCANCIO YHEISON JAVIER</t>
  </si>
  <si>
    <t>SUBDIRECCIÓN DE BIENESTAR UNIVERSITARIO</t>
  </si>
  <si>
    <t>Entrenador</t>
  </si>
  <si>
    <t>Tallerista</t>
  </si>
  <si>
    <t xml:space="preserve">Diego Armando Lozano </t>
  </si>
  <si>
    <t xml:space="preserve">FACULTAD DE EDUCACIÓN FÍSICA </t>
  </si>
  <si>
    <t>MONTOYA GARZON BRYAN ANDRES</t>
  </si>
  <si>
    <t>DEPARTAMENTO DE PSICOPEDAGOGÍA</t>
  </si>
  <si>
    <t>En el proceso de formación de los estudiantes con limitación auditiva aguda se requiere de intérpretes de lengua de señas para espacios académicos en los que participan.</t>
  </si>
  <si>
    <t>DEPARTAMENTO DE QUÍMICA</t>
  </si>
  <si>
    <t>LINA MARCELA SANCHEZ MEJIA</t>
  </si>
  <si>
    <t>INSTITUTO PEDAGÓGICO NACIONAL</t>
  </si>
  <si>
    <t>LUIS FERNANDO CRUZ MORENO</t>
  </si>
  <si>
    <t>PRIMERA VINCULACIÓN</t>
  </si>
  <si>
    <t>SEGUNDA VINCULACIÓN</t>
  </si>
  <si>
    <t>TIPO DE GASTO</t>
  </si>
  <si>
    <t>CENTRO RESPONSABILIDAD</t>
  </si>
  <si>
    <t>DEPENDENCIA</t>
  </si>
  <si>
    <t>GRUPO</t>
  </si>
  <si>
    <t>Fecha Inicio1</t>
  </si>
  <si>
    <t>Fecha Fin1</t>
  </si>
  <si>
    <t>Valor Primera Vinculación</t>
  </si>
  <si>
    <t>Fecha Inicio2</t>
  </si>
  <si>
    <t>Fecha Fin2</t>
  </si>
  <si>
    <t>Valor Segunda Vinculación</t>
  </si>
  <si>
    <t>Valor Anual</t>
  </si>
  <si>
    <t>GASTOS DE FUNCIONAMIENTO</t>
  </si>
  <si>
    <t>Logística</t>
  </si>
  <si>
    <t>RECTORÍA</t>
  </si>
  <si>
    <t>DESPACHO RECTORÍA</t>
  </si>
  <si>
    <t>PROFESIONAL ESPECIALIZADO</t>
  </si>
  <si>
    <t>OFICINA DE COMUNICACIONES</t>
  </si>
  <si>
    <t>PROFESIONAL UNIVERSITARIO</t>
  </si>
  <si>
    <t>TÉCNICO</t>
  </si>
  <si>
    <t>ASISTENCIAL</t>
  </si>
  <si>
    <t>Consultoría</t>
  </si>
  <si>
    <t>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t>
  </si>
  <si>
    <t>DESPACHO VAC</t>
  </si>
  <si>
    <t>Servicios profesionales</t>
  </si>
  <si>
    <t>Intérpretes - Traductores - Mediadores</t>
  </si>
  <si>
    <t>CINNDET</t>
  </si>
  <si>
    <t>VICERRECTORÍA DE GESTIÓN UNIVERSITARIA</t>
  </si>
  <si>
    <t>GRUPO EDITORIAL</t>
  </si>
  <si>
    <t>DESPACHO VAD</t>
  </si>
  <si>
    <t xml:space="preserve">GRUPO DE CONTRATACIÓN </t>
  </si>
  <si>
    <t>GÉNERO</t>
  </si>
  <si>
    <t>RESTAURANTE</t>
  </si>
  <si>
    <t>DEPORTE</t>
  </si>
  <si>
    <t>ARTE Y CULTURA</t>
  </si>
  <si>
    <t>MÚSICA Y DANZA</t>
  </si>
  <si>
    <t>GOAE</t>
  </si>
  <si>
    <t>FACULTAD</t>
  </si>
  <si>
    <t>FACULTAD DE EDUCACIÓN</t>
  </si>
  <si>
    <t>GASTOS DE COMERCIALIZACIÓN Y PRODUCCIÓN</t>
  </si>
  <si>
    <t>SUBDIRECCIÓN DE ASESORÍAS Y EXTENSIÓN</t>
  </si>
  <si>
    <t>Apoyar y realizar las actividades de la gestión documental del proceso de extensión llevado a cabo bajo las distintas modalidades, considerando las series históricas y las tablas de retención documental de la dependencia.</t>
  </si>
  <si>
    <t>EMISORA</t>
  </si>
  <si>
    <t>VINCULACIÓN</t>
  </si>
  <si>
    <t>NIVEL</t>
  </si>
  <si>
    <t>VALOR MES</t>
  </si>
  <si>
    <t>TOTAL</t>
  </si>
  <si>
    <t>Medio Tiempo</t>
  </si>
  <si>
    <t>ESCALAS</t>
  </si>
  <si>
    <t>FORMACIÓN</t>
  </si>
  <si>
    <t>EXPERIENCIA</t>
  </si>
  <si>
    <t>MIN. HONORARIOS 2023</t>
  </si>
  <si>
    <t>MAX. HONORARIOS 2023</t>
  </si>
  <si>
    <r>
      <t>ASISTENCIAL</t>
    </r>
    <r>
      <rPr>
        <b/>
        <sz val="9"/>
        <color theme="1"/>
        <rFont val="Calibri"/>
        <family val="2"/>
        <scheme val="minor"/>
      </rPr>
      <t xml:space="preserve">
</t>
    </r>
    <r>
      <rPr>
        <sz val="9"/>
        <color theme="1"/>
        <rFont val="Calibri"/>
        <family val="2"/>
        <scheme val="minor"/>
      </rPr>
      <t>Ejercicio de actividades de apoyo, asistenciales y complementarias de las tareas propias de los niveles superiores</t>
    </r>
  </si>
  <si>
    <t>Titulo de Bachiller en cualquier modalidad</t>
  </si>
  <si>
    <t>Cero (0) meses</t>
  </si>
  <si>
    <t>Seis (6) meses de experiencia laboral</t>
  </si>
  <si>
    <t>Doce (12) meses de experiencia laboral</t>
  </si>
  <si>
    <t>EQUIVALENCIAS</t>
  </si>
  <si>
    <t>El titulo de Bachiller es obligatorio</t>
  </si>
  <si>
    <t>·         Un (1) año de educación superior por un (1) año de experiencia</t>
  </si>
  <si>
    <t>·         Certificado de Aptitud Laboral (CAP) del SENA por un (1) año de experiencia laboral</t>
  </si>
  <si>
    <t>·         Certificado Técnico laboral por un (1) año de experiencia laboral</t>
  </si>
  <si>
    <r>
      <rPr>
        <b/>
        <sz val="11"/>
        <color theme="1"/>
        <rFont val="Calibri"/>
        <family val="2"/>
        <scheme val="minor"/>
      </rPr>
      <t>TÉCNICO</t>
    </r>
    <r>
      <rPr>
        <sz val="9"/>
        <color theme="1"/>
        <rFont val="Calibri"/>
        <family val="2"/>
        <scheme val="minor"/>
      </rPr>
      <t xml:space="preserve">
Desarrollo de actividades que exigen la realizacion de procesos y procedimientos en labores tecnicas y de apoyo, asi como las relacionadas con la aplicación de la ciencia y la tecnologia.</t>
    </r>
  </si>
  <si>
    <t>Título de formación Técnica Profesional o Tecnológica</t>
  </si>
  <si>
    <t>Seis (6) meses de experiencia laboral, contada a partir de la obtención del título técnico profesional o tecnológico.</t>
  </si>
  <si>
    <t>Doce (12) meses de experiencia laboral contada a partir de la obtención del título técnico profesional o tecnológico.</t>
  </si>
  <si>
    <t>Dieciocho (18) meses de experiencia laboral contada a partir de la obtención del título técnico profesional o tecnológico.</t>
  </si>
  <si>
    <t>El titulo de formacion tecnico Profesional o de formacion tecnologica esobligatorio</t>
  </si>
  <si>
    <r>
      <t xml:space="preserve">· Cuando el título exigido sea en la modalidad de formación técnica profesional: Titulo </t>
    </r>
    <r>
      <rPr>
        <u/>
        <sz val="9"/>
        <color theme="1"/>
        <rFont val="Calibri"/>
        <family val="2"/>
        <scheme val="minor"/>
      </rPr>
      <t>Adicional</t>
    </r>
    <r>
      <rPr>
        <sz val="9"/>
        <color theme="1"/>
        <rFont val="Calibri"/>
        <family val="2"/>
        <scheme val="minor"/>
      </rPr>
      <t xml:space="preserve"> al exigido en la modalidad de formación técnica profesional por dieciocho (18) meses de experiencia laboral, contada a partir de la obtención del título de formación técnica profesional.</t>
    </r>
  </si>
  <si>
    <t>· Cuando el título exigido sea en la modalidad de formación tecnológica: Titulo Adicional al exigido en la modalidad tecnológica por doce (12) meses de experiencia laboral, contada a partir de la obtención del título de formación tecnológica.</t>
  </si>
  <si>
    <r>
      <rPr>
        <b/>
        <sz val="11"/>
        <color theme="1"/>
        <rFont val="Calibri"/>
        <family val="2"/>
        <scheme val="minor"/>
      </rPr>
      <t>PROFESIONAL UNIVERSITARIO</t>
    </r>
    <r>
      <rPr>
        <sz val="9"/>
        <color theme="1"/>
        <rFont val="Calibri"/>
        <family val="2"/>
        <scheme val="minor"/>
      </rPr>
      <t xml:space="preserve">
Ejecución y aplicación de los conocimientos propios de cualquier carrera profesional reconocida por la ley, diferente a la técnica profesional</t>
    </r>
  </si>
  <si>
    <t>Título Profesional Universitario</t>
  </si>
  <si>
    <t>Tres (3) meses de experiencia profesional</t>
  </si>
  <si>
    <t>Seis (6) meses de experiencia profesional</t>
  </si>
  <si>
    <t>Doce (12) meses de experiencia profesional</t>
  </si>
  <si>
    <t>Dieciocho (18) meses de experiencia profesional</t>
  </si>
  <si>
    <t>•	Título Profesional Universitario adicional al exigido por doce (12) meses de experiencia profesional, siempre y cuando el título adicional se relacione con el objeto a contratar.
•	Seis (06) meses de experiencia laboral relacionada con el objeto a contratar, por cada (01) mes de experiencia profesional exigida.</t>
  </si>
  <si>
    <r>
      <rPr>
        <b/>
        <sz val="11"/>
        <color theme="1"/>
        <rFont val="Calibri"/>
        <family val="2"/>
        <scheme val="minor"/>
      </rPr>
      <t>PROFESIONAL ESPECIALIZADO</t>
    </r>
    <r>
      <rPr>
        <sz val="9"/>
        <color theme="1"/>
        <rFont val="Calibri"/>
        <family val="2"/>
        <scheme val="minor"/>
      </rPr>
      <t xml:space="preserve">
Ejecución y aplicación de los conocimientos propios de cualquier modalidad de posgrado reconocida por la ley, en complemento a la carrera profesional</t>
    </r>
  </si>
  <si>
    <t>Título de Formación en Posgrado</t>
  </si>
  <si>
    <t>Seis (06) meses de experiencia profesional</t>
  </si>
  <si>
    <t>Diecieocho (18) meses de experiencia profesional</t>
  </si>
  <si>
    <t>Veinticuatro (24) meses de experiencia profesional</t>
  </si>
  <si>
    <t>Experiencia profesional relacionada adicional a la exigida, por título de posgrado</t>
  </si>
  <si>
    <t>•	Título de posgrado de maestría por doce (12) meses de experiencia profesional, siempre y cuando el título de posgrado se relacione con el objeto a contratar.
•	Doce (12) meses de experiencia profesional relacionada adicional a la exigida, por título de posgrado exigido en la modalidad de maestría.
•	Título de posgrado de doctorado por dieciocho (18) meses de experiencia profesional, siempre y cuando el título de posgrado se relacione con el objeto a contratar.
•	Dieciocho (18) meses de experiencia profesional relacionada adicional a la exigida, por título de posgrado exigido en la modalidad de doctorado.
•	Título de posgrado de posdoctorado por veinticuatro (24) meses de experiencia profesional, siempre y cuando el título de posgrado se relacione con el objeto a contratar.
•	Veinticuatro (24) meses de experiencia profesional relacionada adicional a la exigida, por título de posgrado exigido en la modalidad posdoctorado.</t>
  </si>
  <si>
    <t>ORI</t>
  </si>
  <si>
    <t>SUBDIRECCIÓN FINANCIERA</t>
  </si>
  <si>
    <t>SUBDIRECCIÓN DE PERSONAL</t>
  </si>
  <si>
    <t>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t>
  </si>
  <si>
    <t>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</si>
  <si>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</si>
  <si>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</si>
  <si>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t>
  </si>
  <si>
    <t>Prestar los servicios profesionales para apoyar a la Vicerrectoría Administrativa y Financiera en la implementación y seguimiento del Sistema de Gestión Ambiental de la Universidad Pedagógica Nacional.</t>
  </si>
  <si>
    <t>Amparar el pago de honorarios a los miembros del Consejo Superior de la UPN para la Vigencia 2023</t>
  </si>
  <si>
    <t>Prestar servicios profesionales  en el área tecnológica y de diseño con el fin de apoyar el desarrollo de plataformas, aplicaciones y otras necesidades online que se requieran para la UPN</t>
  </si>
  <si>
    <t>Prestar servicios profesionales para la transcripción y redacción de actas y documentos del Consejo Superior y el Consejo Académico.</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</si>
  <si>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t>
  </si>
  <si>
    <t>Prestar servicios profesionales para dar cumplimiento al Programa de Auditorías y Plan de Trabajo de la oficina de Control Interno, vigencia 2023, aprobado por el Comité Institucional de Coordinación de Control Interno.</t>
  </si>
  <si>
    <t>Prestar servicios profesionales  para dar cumplimiento al Programa de Auditorías y Plan de Trabajo vigencia 2023, aprobado por el Comité Institucional de Coordinación de Control Interno.</t>
  </si>
  <si>
    <t>Prestar servicios especializados en  representación y defensa judicial, asesoría y emisión de conceptos en los procesos promovidos o en contra de la UPN.</t>
  </si>
  <si>
    <t>Prestar servicios especializados de asesoría, acompañamiento y seguimiento de todas las actividades relacionadas con la gestión juridica que corresponden a la Oficina Jurídica de la UPN.</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</si>
  <si>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</si>
  <si>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Prestar el servicio profesional para asesorar a la Vicerrectoría Académica en la elaboración de propuestas asociadas al PEI, en la línea de construcción de comunidades de saber pedagógico en articulación con otros saberes.</t>
  </si>
  <si>
    <t>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t>
  </si>
  <si>
    <t xml:space="preserve">Prestar servicios profesionales para desarrollar contenidos radiales y apoyar las distintas fases del proceso de producción radial junto con la locución y realización de entrevistas, cubrimientos, actividades y selección musical. </t>
  </si>
  <si>
    <t>Prestar servicios profesionales para manejar diferentes herramientas de grabación, producción, transmisión y edición de audio para proyectos, contenidos audiovisuales de la emisora y actividades dentro y fuera de estudio, al igual que programar los contenidos.</t>
  </si>
  <si>
    <t>Prestar servicios profesionales para liderar y orientar los procesos derivados del Sistema de Gestión Integral de la Calidad en la Vicerrectoría Académica y demás dependencias adscritas.</t>
  </si>
  <si>
    <t>Garantizar el pago de honorarios para conferencistas y evaluadores requeridos por las diferentes Facultades a traves de los programas academicos y demás Grupos de Trabajo, en el marco de las  actividades previstas por la Vicerrectoria Académica</t>
  </si>
  <si>
    <t>Liderar el proceso de implementación y puesta en marcha del nuevo sistema académico Class, para la Subdirección de Admisiones y Registro, considerando la transición y paralelo con los sistemas antiguos en los procesos y sus usuarios.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</si>
  <si>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</si>
  <si>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Contratar el servicio de evaluadores de la productividad académica presentada por los docentes de planta de la Universidad Pedagógica Nacional, susceptible de puntos salariales o ascensos de categoría.</t>
  </si>
  <si>
    <t>Prestar servicios asistenciales  para la gestión de documentos de las historias académicas de los docentes, así como la demás gestión documental, de los procesos y procedimientos a cargo del grupo.</t>
  </si>
  <si>
    <t>Contratar el servicio de evaluadores de proyectos y tesis de doctorado y garantizar bonificaciones a expertos nacionales e internacionales, e invitados a seminarios doctorales.</t>
  </si>
  <si>
    <t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t>
  </si>
  <si>
    <t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t>
  </si>
  <si>
    <t>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t>
  </si>
  <si>
    <t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t>
  </si>
  <si>
    <t>Prestalos los servicios para garantizar el buen funcionamiento de la piscina y las calderas de Calle 72  de la Universidad Pedagógica Nacional.</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</si>
  <si>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</si>
  <si>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</si>
  <si>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</si>
  <si>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prestar los servicios profesionales para administrar, soportar y garantizar la disponibilidad de la plataforma de servidores físicos y virtuales, incluyendo la infraestructura web de la Universidad Pedagógica Nacional.</t>
  </si>
  <si>
    <t>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</si>
  <si>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Prestar los servicos profesionales para continuar con el desarrollo de la página web de la Universidad Pedagógica Nacional y apoyar  labores de programas académicos</t>
  </si>
  <si>
    <t>Prestar servicios profesionales para en la Subdirección de Bienestar para realizar el acompañamiento en lo referente a la alimentación, nutrición y dietética de la Escuela Maternal y Restaurante de la UPN.</t>
  </si>
  <si>
    <t>Prestar servicios profesionales para a la Subdirección de Bienestar para orientar los entrenamientos de baloncesto para funcionarios de la UPN.</t>
  </si>
  <si>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</si>
  <si>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</si>
  <si>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</si>
  <si>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</si>
  <si>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</si>
  <si>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</si>
  <si>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</si>
  <si>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pesas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</si>
  <si>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t>
  </si>
  <si>
    <t>Prestar servicios profesionales en la Subdirección de Bienestar para orientar el taller de teatro para estudiantes y funcionarios  y los de profundización para el grupo representativo institucional de la UPN.</t>
  </si>
  <si>
    <t>Prestar servicios profesionales en la Subdirección de Bienestar para orientar el taller de músicas del pacifico para estudiantes y funcionarios.</t>
  </si>
  <si>
    <t>Prestar servicios profesionales en la Subdirección de Bienestar para orientar los talleres de danza folclórica Colombiana para estudiantes, funcionarios y los de profundización para el grupo representativo institucional de la UPN.</t>
  </si>
  <si>
    <t>Prestar servicios profesionales en la Subdirección de Bienestar para orientar el taller de danza urbana pop dance para estudiantes y funcionarios de la UPN.</t>
  </si>
  <si>
    <t>Prestar servicios profesionales en la Subdirección de Bienestar para orientar los talleres de danza del litoral pacífico, para estudiantes, funcionarios y los de profundización para el grupo representativo institucional de la UPN.</t>
  </si>
  <si>
    <t>Prestar servicios profesionales en la Subdirección de Bienestar para orientar los talleres de flamenco para estudiantes, funcionarios y los de profundización para el grupo representativo institucional de la UPN.</t>
  </si>
  <si>
    <t>Prestar servicios profesionales en la Subdirección de Bienestar para orientar los talleres de salsa y bachata para estudiantes y funcionarios de la UPN.</t>
  </si>
  <si>
    <t>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t>
  </si>
  <si>
    <t>Prestar sus servicios personales para garantizar la atención en el servicio del gimnasio en Valmaria para los estudiantes y funcionarios de la institución durante las prácticas y entrenamientos</t>
  </si>
  <si>
    <t>Prestar sus servicios como salvavidas para garantizar la seguridad para los usuarios de la piscina, durante la jornada de la tarde</t>
  </si>
  <si>
    <t>Prestar sus servicios como salvavidas para garantizar la seguridad para los usuarios de la piscina, durante la jornada de la mañana</t>
  </si>
  <si>
    <t>Prestar sus servicios personales para garantizar la atención en el servicio del gimnasio de la calle 72, con apoyo de las Tics y/o presencialmente cuando se requiera, en la jornada de la mañana para los estudiantes y funcionarios.</t>
  </si>
  <si>
    <t>Prestar sus servicios personales para garantizar la atención en el servicio del gimnasio de la calle 72, con apoyo de las Tics y/o presencialmente cuando se requiera, en la jornada de la tarde para los estudiantes y funcionarios.</t>
  </si>
  <si>
    <t>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t>
  </si>
  <si>
    <t>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</si>
  <si>
    <t>Prestar servicios de acompañamiento jurídico y administrativo, para documentar y sustentar los asuntos y temas  sometidos a consideración de la Dirección del instituto
Pedagógico Nacional</t>
  </si>
  <si>
    <t>Prestar los servicios de Auxiliar de Enfermería al Instituto pedagógico Nacional. Apoyar la asistencia a estudiantes y realizar el acompañamiento a los casos asignados.</t>
  </si>
  <si>
    <t>Apoyo asistencial en el servicio de fotocopiado para el desarrollo de actividades administrativas y operativas derivadas de las actividades académicas del Instituto Pedagógico Nacional</t>
  </si>
  <si>
    <t>Prestación de servicios para el apoyo a la atención a estudiantes, padres de familia, profesores y organización y conservación del archivo del área de orientación escolar</t>
  </si>
  <si>
    <t>Prestar los servicios para llevar a cabo la organización del archivo del Instituto Pedagógico Nacional, de acuerdo a la normatividad vigente y apoyar actividades institucionales</t>
  </si>
  <si>
    <t>Prestar los servicios para la formulación y seguimiento de proyectos articulando el componente académico para potenciar las alianzas con instancias Nacionales e Internacionales.</t>
  </si>
  <si>
    <t>Prestar los servicios para la formulación y seguimiento de proyectos de extensión, articulando el componente académico para potenciar las alianzas con instancias Nacionales e Internacionales.</t>
  </si>
  <si>
    <t>Prestar los servicios para la formulación y seguimiento de proyectos de asesorías y extensión, articulando el componente académico para potenciar las alianzas con instancias Nacionales e Internacionales.</t>
  </si>
  <si>
    <t>Prestar servicios profesionales a la Subdirección de Personal para apoyar la formulación, ejecución, seguimiento y control del Plan de Capacitación</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</si>
  <si>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</si>
  <si>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INFORMACIÓN PARA SUBIR A SECOP</t>
  </si>
  <si>
    <t>CARACTERIZACION POBLACIONES</t>
  </si>
  <si>
    <t>TRAZADOR EQUIDAD DE GENERO</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</si>
  <si>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</si>
  <si>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</si>
  <si>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</si>
  <si>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</si>
  <si>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</si>
  <si>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</si>
  <si>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</si>
  <si>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</si>
  <si>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</si>
  <si>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</si>
  <si>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</si>
  <si>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</si>
  <si>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</si>
  <si>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</si>
  <si>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</si>
  <si>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</si>
  <si>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</si>
  <si>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</si>
  <si>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</si>
  <si>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</si>
  <si>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</si>
  <si>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</si>
  <si>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</si>
  <si>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</si>
  <si>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</si>
  <si>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</si>
  <si>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MES(ES)</t>
  </si>
  <si>
    <t>Contratación directa.</t>
  </si>
  <si>
    <t>20.01</t>
  </si>
  <si>
    <t>NO</t>
  </si>
  <si>
    <t>NA</t>
  </si>
  <si>
    <t>GRUPO DE CONTRATACION UNIVERSIDAD PEDAGOGICA NACIONAL</t>
  </si>
  <si>
    <t>CO-DC</t>
  </si>
  <si>
    <t>601 5941844</t>
  </si>
  <si>
    <t>contratacion@pedagogica.edu.co</t>
  </si>
  <si>
    <t>No Aplica</t>
  </si>
  <si>
    <t>Todas</t>
  </si>
  <si>
    <t>Todos</t>
  </si>
  <si>
    <t>002</t>
  </si>
  <si>
    <t>003</t>
  </si>
  <si>
    <t>005</t>
  </si>
  <si>
    <t>006</t>
  </si>
  <si>
    <t>007</t>
  </si>
  <si>
    <t>008</t>
  </si>
  <si>
    <t>009</t>
  </si>
  <si>
    <t>010</t>
  </si>
  <si>
    <t>011</t>
  </si>
  <si>
    <t>012</t>
  </si>
  <si>
    <t>013</t>
  </si>
  <si>
    <t>marzo</t>
  </si>
  <si>
    <t>014</t>
  </si>
  <si>
    <t>015</t>
  </si>
  <si>
    <t>016</t>
  </si>
  <si>
    <t>017</t>
  </si>
  <si>
    <t>018</t>
  </si>
  <si>
    <t>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t>
  </si>
  <si>
    <t>019</t>
  </si>
  <si>
    <t>020</t>
  </si>
  <si>
    <t>021</t>
  </si>
  <si>
    <t>022</t>
  </si>
  <si>
    <t>023</t>
  </si>
  <si>
    <t>025</t>
  </si>
  <si>
    <t>026</t>
  </si>
  <si>
    <t>027</t>
  </si>
  <si>
    <t>028</t>
  </si>
  <si>
    <t>029</t>
  </si>
  <si>
    <t>030</t>
  </si>
  <si>
    <t>031</t>
  </si>
  <si>
    <t>032</t>
  </si>
  <si>
    <t>033</t>
  </si>
  <si>
    <t>034</t>
  </si>
  <si>
    <t>035</t>
  </si>
  <si>
    <t>036</t>
  </si>
  <si>
    <t>037</t>
  </si>
  <si>
    <t>039</t>
  </si>
  <si>
    <t>040</t>
  </si>
  <si>
    <t>041</t>
  </si>
  <si>
    <t>042</t>
  </si>
  <si>
    <t>043</t>
  </si>
  <si>
    <t>044</t>
  </si>
  <si>
    <t>045</t>
  </si>
  <si>
    <t>047</t>
  </si>
  <si>
    <t>048</t>
  </si>
  <si>
    <t>050</t>
  </si>
  <si>
    <t>051</t>
  </si>
  <si>
    <t>052</t>
  </si>
  <si>
    <t>053</t>
  </si>
  <si>
    <t>054</t>
  </si>
  <si>
    <t>055</t>
  </si>
  <si>
    <t>056</t>
  </si>
  <si>
    <t>057</t>
  </si>
  <si>
    <t>058</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</si>
  <si>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</si>
  <si>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</si>
  <si>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</si>
  <si>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</si>
  <si>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</si>
  <si>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</si>
  <si>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</si>
  <si>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</si>
  <si>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</si>
  <si>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</si>
  <si>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</si>
  <si>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</si>
  <si>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</si>
  <si>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</si>
  <si>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</si>
  <si>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</si>
  <si>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</si>
  <si>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</si>
  <si>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</si>
  <si>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</si>
  <si>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</si>
  <si>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</si>
  <si>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</si>
  <si>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085</t>
  </si>
  <si>
    <t>086</t>
  </si>
  <si>
    <t>087</t>
  </si>
  <si>
    <t>088</t>
  </si>
  <si>
    <t>089</t>
  </si>
  <si>
    <t>090</t>
  </si>
  <si>
    <t>091</t>
  </si>
  <si>
    <t>092</t>
  </si>
  <si>
    <t>093</t>
  </si>
  <si>
    <t>094</t>
  </si>
  <si>
    <t>095</t>
  </si>
  <si>
    <t>096</t>
  </si>
  <si>
    <t>097</t>
  </si>
  <si>
    <t>098</t>
  </si>
  <si>
    <t>099</t>
  </si>
  <si>
    <t>100</t>
  </si>
  <si>
    <t>102</t>
  </si>
  <si>
    <t>104</t>
  </si>
  <si>
    <t>105</t>
  </si>
  <si>
    <t>TIPO</t>
  </si>
  <si>
    <t>PERFIL</t>
  </si>
  <si>
    <t>GRADO</t>
  </si>
  <si>
    <t>Valor Mes</t>
  </si>
  <si>
    <t>No</t>
  </si>
  <si>
    <t>VALOR TOTAL</t>
  </si>
  <si>
    <t>Rubro</t>
  </si>
  <si>
    <t>FREDY LOPEZ GARCIA</t>
  </si>
  <si>
    <t>POSIBLE CONTRATISTA</t>
  </si>
  <si>
    <t>No. Meses</t>
  </si>
  <si>
    <t>Prestar los servicios profesionales para asesorar y acompañar a la Rectoría de la UPN en los asuntos de paz, participación y modificatorios de leyes relacionadas con educación y otros temas de interés para la Universidad</t>
  </si>
  <si>
    <t>Incluir en PAA</t>
  </si>
  <si>
    <t>SI</t>
  </si>
  <si>
    <t>80101500
84111700</t>
  </si>
  <si>
    <t>Con ajustes</t>
  </si>
  <si>
    <t>Prestar los servicios profesionales como administrador y soporte de aplicaciones, principalmente para nuevos desarrollos, en cumplimiento de las metas y los objetivos de la Subdirección de gestión de Sistemas de Información</t>
  </si>
  <si>
    <t>Prestar servicios profesionales para la administración y soporte de las bases de datos Mysql Server, principalmente para el nuevo software académico Class</t>
  </si>
  <si>
    <t xml:space="preserve">
Prestar servicios profesionales para el desarrollo de la edición y publicación de revistas y libros de la Universidad Pedagógica Nacional.</t>
  </si>
  <si>
    <t>Prestar servicios profesionales  para el desarrollo de las actividades del Grupo Interno de Trabajo Editorial en la corrección de estilo de los libros, revistas y materiales educativos de la Universidad Pedagógica Nacional.</t>
  </si>
  <si>
    <t>Prestar servicios profesionales para los procesos de comunicación interna y externa de la producción editorial de la Universidad y gestión de las redes sociales y académicas de la editorial.</t>
  </si>
  <si>
    <t>Prestar los servicios profesionales para el desarrollo de las actividades del Grupo Interno de Trabajo Editorial en los procesos de diagramación, diseño y finalización de las revistas de la Universidad Pedagógica Nacional.</t>
  </si>
  <si>
    <t>Prestar servicios profesionales para la circulación y distribución de la producción editorial de la Universidad Pedagógica Nacional.</t>
  </si>
  <si>
    <t xml:space="preserve">SUBDIRECCION DE GESTION DE PROYECTOS </t>
  </si>
  <si>
    <t xml:space="preserve">CENTRO DE LENGUAS </t>
  </si>
  <si>
    <t>2.1.5.02.09</t>
  </si>
  <si>
    <t>CPS</t>
  </si>
  <si>
    <t>CENTRO DE LENGUAS</t>
  </si>
  <si>
    <t>ACOSTA REYES JENNY ALEJANDRA</t>
  </si>
  <si>
    <t>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t>
  </si>
  <si>
    <t>2.1.5.02.08</t>
  </si>
  <si>
    <t xml:space="preserve">UNIVERSIDAD PEDAGÓGICA NACIONAL </t>
  </si>
  <si>
    <t>Tipo Contrato</t>
  </si>
  <si>
    <t>Presupuesto</t>
  </si>
  <si>
    <t>Total</t>
  </si>
  <si>
    <t>Servicios Profesionales</t>
  </si>
  <si>
    <t>Presupuesto 2023</t>
  </si>
  <si>
    <t>Punto de Equilibrio</t>
  </si>
  <si>
    <t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t>
  </si>
  <si>
    <t>Prestar servicios profesionales para el desarrollo de las actividades del Grupo Interno de Trabajo Editorial, en la edición y corrección de estilo de los libros y revistas de la Universidad Pedagógica Nacional</t>
  </si>
  <si>
    <t>Prestar servicios profesionales para apoyar a la Subdirección de Bienestar Universitario en la asistencia jurídica en derechos humanos y violencia de género para atender a estudiantes y funcionarios de la UPN.</t>
  </si>
  <si>
    <t>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t>
  </si>
  <si>
    <t>mayo</t>
  </si>
  <si>
    <t>Prestar servicios profesionales  a la Oficina de Desarrollo y Planeación en el desarrollo de tableros informativos e informes reproducibles con la información financiera oficial y diagnóstico del boletín estadístico de la UPN</t>
  </si>
  <si>
    <t>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t>
  </si>
  <si>
    <t>julio</t>
  </si>
  <si>
    <t>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t>
  </si>
  <si>
    <t>Prestar servicios profesionales para apoyar la consolidación, organización y análisis de la  información que aportará a los procesos de producción y generación de conocimiento del
Observatorio Colombiano de Políticas Educativas y Profesión Docente OCPE – UPN.</t>
  </si>
  <si>
    <t xml:space="preserve">2.3.2.02.02.008  </t>
  </si>
  <si>
    <t xml:space="preserve">CPS </t>
  </si>
  <si>
    <t>CC</t>
  </si>
  <si>
    <t>FABIO CASTRO BUENO</t>
  </si>
  <si>
    <t>MORENO RODRIGUEZ JOSE GREGORIO</t>
  </si>
  <si>
    <t>ANGELA ROCIO CALDERON AMADO</t>
  </si>
  <si>
    <t>LINA MARCELA RIVERA MORALES</t>
  </si>
  <si>
    <t>YANNETH MILENA GUACA ARIAS</t>
  </si>
  <si>
    <t>DIEGO FERNANDO MARIN MONJE</t>
  </si>
  <si>
    <t>MARÍA ANGELICA MARTINEZ VERGARA</t>
  </si>
  <si>
    <t>ANDREY URIEL VERGARA SANCHEZ</t>
  </si>
  <si>
    <t>JULIAN ALEJANDRO PIEDRAHITA MONROY</t>
  </si>
  <si>
    <t>PINILLOS RODRIGUEZ OSCAR JAVIER</t>
  </si>
  <si>
    <t>KARIN LUCERO QUIÑONES MALAVER</t>
  </si>
  <si>
    <t>ANA CECILIA ESCOBAR RAMÍREZ</t>
  </si>
  <si>
    <t>MARIA DEL PILAR UNDA BERNAL</t>
  </si>
  <si>
    <t>MARIO ALFONSO HENRÍQUEZ ROMERO</t>
  </si>
  <si>
    <t>RENE GABRIEL CALDERON LUNG</t>
  </si>
  <si>
    <t>MAURICIO ANTONIO CASTILLO MELO</t>
  </si>
  <si>
    <t>JOHANN MATEO SOLER LÓPEZ</t>
  </si>
  <si>
    <t>ORTEGON MORENO JHONNY ALEXANDER</t>
  </si>
  <si>
    <t>JEISSON ALEXANDER GAVILAN MURCIA</t>
  </si>
  <si>
    <t>MAYCOL ALFONSO MURCIA SOSA</t>
  </si>
  <si>
    <t>LOAIZA VILLALBA ANGELA MARIEL</t>
  </si>
  <si>
    <t>MARTHA JANNETH MENDEZ PEÑA</t>
  </si>
  <si>
    <t>ANA MARIA ROBAYO SOLER</t>
  </si>
  <si>
    <t>MARIA ALEJANDRA URIBE CADENA</t>
  </si>
  <si>
    <t>PAULA ANDREA CUBILLOS GÓMEZ</t>
  </si>
  <si>
    <t>GINA JAIDIVE ORREGO PLAZA</t>
  </si>
  <si>
    <t>CAROLINA PRADO MUÑOZ</t>
  </si>
  <si>
    <t>MARÍA ISABEL PINZÓN PINTO</t>
  </si>
  <si>
    <t>LOZANO RAMIREZ ANDREA MARIA</t>
  </si>
  <si>
    <t>YEFER ESTEBAN RICO SÁNCHEZ</t>
  </si>
  <si>
    <t>MILTON EDUARDO GARCIA GRANADOS</t>
  </si>
  <si>
    <t>JOHAN SEBASTIAN ROBAYO CASTILLO</t>
  </si>
  <si>
    <t>VALENTINA HERRERA OSPINA</t>
  </si>
  <si>
    <t>EDUIN ARLEY RIVERA TORRES</t>
  </si>
  <si>
    <t>GUARIN SEPULVEDA CRISTHIAN DAVID</t>
  </si>
  <si>
    <t>GUZMAN VILLAMIL MARIA CLAUDIA</t>
  </si>
  <si>
    <t>JESICA KATTERINE VELASQUEZ CASTILLO</t>
  </si>
  <si>
    <t>DEIBY TRIANA MUÑOZ</t>
  </si>
  <si>
    <t>FABIAN CAMILO ORTEGA MELO</t>
  </si>
  <si>
    <t>JOSÉ LEONARDO CRISTIANO FONTECHA</t>
  </si>
  <si>
    <t>BURGOS BONILLA LUIS CARLOS</t>
  </si>
  <si>
    <t>JIMMY GIOVANNI MORENO GARCÍA</t>
  </si>
  <si>
    <t>YAMILE URQUIJO AVENDAÑO</t>
  </si>
  <si>
    <t>RICARDO REYES TORRES</t>
  </si>
  <si>
    <t>CAMILO ANDRÉS CASADIEGO GUZMAN</t>
  </si>
  <si>
    <t>ALFARO URTATIZ MARIA ELISA</t>
  </si>
  <si>
    <t>BETANCUR URICOECHEA JUAN CAMILO</t>
  </si>
  <si>
    <t>LOZANO CASTIBLANCO LUZ STELLA</t>
  </si>
  <si>
    <t>INDHIRA ALEXANDRA GUZMAN BARBOSA</t>
  </si>
  <si>
    <t>GOMEZ PINZON DUMAR HALDAYR</t>
  </si>
  <si>
    <t>JOSE JOAQUIN MARTINEZ AYALA</t>
  </si>
  <si>
    <t>RAMIREZ RUIZ SONIA GISSEL</t>
  </si>
  <si>
    <t>MARIA FERNANDA VEGA AFRICANO</t>
  </si>
  <si>
    <t>ELBAN GERARDO ROA DÍAZ</t>
  </si>
  <si>
    <t>JENIFFER GISSEL LOPEZ IBARRA</t>
  </si>
  <si>
    <t>LEYDI JOHANA GARZON ROJAS</t>
  </si>
  <si>
    <t>LAURA ANDREA MACIAS OLANO</t>
  </si>
  <si>
    <t>SANDRA CONSTANZA ESPITIA OLIVEIRA</t>
  </si>
  <si>
    <t>LADY CONSTANZA MONROY ROJAS</t>
  </si>
  <si>
    <t>OLGA BIBIANA BOLIVAR BAUTISTA</t>
  </si>
  <si>
    <t>JULIA LILIANA RÍOS HERRERA</t>
  </si>
  <si>
    <t>GELVEZ RUIZ DIANA ELISA</t>
  </si>
  <si>
    <t>KAREN VIVIANA RENGIFO PÉREZ</t>
  </si>
  <si>
    <t>JUAGIBIOY JUAGIBIOY ANGELA JULYET</t>
  </si>
  <si>
    <t xml:space="preserve">LUZ DARY URREGO PAEZ </t>
  </si>
  <si>
    <t>Prestar servicios profesionales a la Oficina de Desarrollo y Planeación  para apoyar la actualización de los proyectos de inversión con metodologías de marco lógico que permitan la gestión de recursos de diferentes fuentes.</t>
  </si>
  <si>
    <t>Prestar los servicios para planificar, realizar y acompañar los entrenamientos de Tennis de campo a los equipos representativos de la UPN y apoyar la organización del torneo SUE-DC.</t>
  </si>
  <si>
    <t>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t>
  </si>
  <si>
    <t>Prestar servicios profesionales para apoyar el proceso de verificación de hojas de vida de los
egresados de la UPN</t>
  </si>
  <si>
    <t>Contribuir con el proceso de formación de las actividades académicas programadas por el Centro de Lenguas</t>
  </si>
  <si>
    <t>110</t>
  </si>
  <si>
    <t>113</t>
  </si>
  <si>
    <t>ASESOR</t>
  </si>
  <si>
    <t>PLAN ANUAL DE ADQUISICIONES CONTRATISTAS - 2024</t>
  </si>
  <si>
    <t>OTRO</t>
  </si>
  <si>
    <t>BASE2023</t>
  </si>
  <si>
    <t>Incremento</t>
  </si>
  <si>
    <t>NECESIDAD</t>
  </si>
  <si>
    <t>%</t>
  </si>
  <si>
    <t>Cantidad</t>
  </si>
  <si>
    <t>Logística Consejo Superior</t>
  </si>
  <si>
    <t>Servicios Técnicos</t>
  </si>
  <si>
    <t>Servicios Asistenciales</t>
  </si>
  <si>
    <t>ANA JUVINAO</t>
  </si>
  <si>
    <t>XX</t>
  </si>
  <si>
    <t>TIPO PAGO</t>
  </si>
  <si>
    <t>DIA</t>
  </si>
  <si>
    <t>MENSUAL</t>
  </si>
  <si>
    <t>BLANCA JANETH GUZMAN GARZON</t>
  </si>
  <si>
    <t>JULIETH ALEJANDRA VILLALOBOS LEON</t>
  </si>
  <si>
    <t>SANDRA MILENA AZCARATE ZULUAGA</t>
  </si>
  <si>
    <t>ANGUIE MILENA SANABRIA ARAGÓN</t>
  </si>
  <si>
    <t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</si>
  <si>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</si>
  <si>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</si>
  <si>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MARIA ALEJANDRA JIMENEZ AMAYA</t>
  </si>
  <si>
    <t>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t>
  </si>
  <si>
    <t>LIDIA YOLANDA BARRANTES SUAREZ</t>
  </si>
  <si>
    <t>Prestar los servicios para orientar los talleres de percusión folclórica y tamboras, dirigidos a los estudiantes, funcionarios y los de profundización para el Grupo Representativo Institucional de la UPN</t>
  </si>
  <si>
    <t>Total general</t>
  </si>
  <si>
    <t>Cuenta de CENTRO RESPONSABILIDAD</t>
  </si>
  <si>
    <t>Suma de Valor Anual</t>
  </si>
  <si>
    <t>CENTRO</t>
  </si>
  <si>
    <t>CPS 2023</t>
  </si>
  <si>
    <t>Valor 2023</t>
  </si>
  <si>
    <t>CPS 2024</t>
  </si>
  <si>
    <t>Valor 2024</t>
  </si>
  <si>
    <t>Dif CPS</t>
  </si>
  <si>
    <t>Dif Valor</t>
  </si>
  <si>
    <t>Ejec 2023</t>
  </si>
  <si>
    <t>Mayor tiempo vinculación</t>
  </si>
  <si>
    <t>3 asesores que se financiaban por proy Gestión (Yaneth, Angela María y Ramiro)</t>
  </si>
  <si>
    <t>RAMIRO</t>
  </si>
  <si>
    <t>1 contratista adicional y mayor tiempo vinculación</t>
  </si>
  <si>
    <t>Prestar servicios profesionales de apoyo y asistencia técnica a la Oficina de Desarrollo y Planeación para gestión de herramientas que faciliten la sistematización y analisis de la información oficial de la Universidad</t>
  </si>
  <si>
    <t>Prestar servicios profesionales de apoyo a la ODP en el desarrollo de heramientas que consoliden los procesos de autoevaluacion institucional y de los programas academicos</t>
  </si>
  <si>
    <t>4 OPS que se financiaban por proy Gestión (Anguie, Sandra, Alejandra, Ana y 2 necesidades adicionales))</t>
  </si>
  <si>
    <t>Contribuir con el proceso de formación de las actividades académicas programadas por el Centro de Lenguas, durante el primer semestre de la vigencia 2023.</t>
  </si>
  <si>
    <t>CON-160</t>
  </si>
  <si>
    <t>CON-161</t>
  </si>
  <si>
    <t>CON-163</t>
  </si>
  <si>
    <t>CON-164</t>
  </si>
  <si>
    <t>CON-165</t>
  </si>
  <si>
    <t>CON-166</t>
  </si>
  <si>
    <t>CON-167</t>
  </si>
  <si>
    <t>CON-168</t>
  </si>
  <si>
    <t>CON-169</t>
  </si>
  <si>
    <t>CON-170</t>
  </si>
  <si>
    <t>CON-171</t>
  </si>
  <si>
    <t>CON-172</t>
  </si>
  <si>
    <t>CON-173</t>
  </si>
  <si>
    <t>CON-174</t>
  </si>
  <si>
    <t>CON-175</t>
  </si>
  <si>
    <t>CON-176</t>
  </si>
  <si>
    <t>CON-177</t>
  </si>
  <si>
    <t>CON-179</t>
  </si>
  <si>
    <t>CON-180</t>
  </si>
  <si>
    <t>CON-181</t>
  </si>
  <si>
    <t>CON-182</t>
  </si>
  <si>
    <t>CON-183</t>
  </si>
  <si>
    <t>CON-184</t>
  </si>
  <si>
    <t>CON-185</t>
  </si>
  <si>
    <t>CON-186</t>
  </si>
  <si>
    <t>CON-187</t>
  </si>
  <si>
    <t>CON-188</t>
  </si>
  <si>
    <t>CON-189</t>
  </si>
  <si>
    <t>CON-190</t>
  </si>
  <si>
    <t>CON-191</t>
  </si>
  <si>
    <t>CON-192</t>
  </si>
  <si>
    <t>CON-193</t>
  </si>
  <si>
    <t>CON-194</t>
  </si>
  <si>
    <t>CON-195</t>
  </si>
  <si>
    <t>CON-196</t>
  </si>
  <si>
    <t>CON-197</t>
  </si>
  <si>
    <t>CON-198</t>
  </si>
  <si>
    <t>CON-199</t>
  </si>
  <si>
    <t>CON-200</t>
  </si>
  <si>
    <t>CON-201</t>
  </si>
  <si>
    <t>CON-202</t>
  </si>
  <si>
    <t>CON-203</t>
  </si>
  <si>
    <t>CON-204</t>
  </si>
  <si>
    <t>CON-205</t>
  </si>
  <si>
    <t>CON-206</t>
  </si>
  <si>
    <t>CON-207</t>
  </si>
  <si>
    <t>CON-208</t>
  </si>
  <si>
    <t>CON-209</t>
  </si>
  <si>
    <t>CON-210</t>
  </si>
  <si>
    <t>CON-211</t>
  </si>
  <si>
    <t>CON-212</t>
  </si>
  <si>
    <t>CON-213</t>
  </si>
  <si>
    <t>CON-214</t>
  </si>
  <si>
    <t>CON-215</t>
  </si>
  <si>
    <t>CON-220</t>
  </si>
  <si>
    <t>CON-221</t>
  </si>
  <si>
    <t>CON-225</t>
  </si>
  <si>
    <t>Prestar servicios profesionales para el desarrollo de los procesos de formación de las actividades académicas programadas por el Centro de Lenguas, durante el segundo semestre de la vigencia 2023.</t>
  </si>
  <si>
    <t>CUPOS 2024</t>
  </si>
  <si>
    <t>CENTRO DE RESPONSABILIDAD</t>
  </si>
  <si>
    <t>Rectoria</t>
  </si>
  <si>
    <t>Oficina de Desarrollo y Planeación</t>
  </si>
  <si>
    <t>Vicerrectoría Administrativa y Financiera</t>
  </si>
  <si>
    <t>Subdirección de Bienestar</t>
  </si>
  <si>
    <t>Despacho VAD</t>
  </si>
  <si>
    <t>CONCEPTO GENERAL CICP</t>
  </si>
  <si>
    <t>CONCEPTO ESPECÍFICO CICP</t>
  </si>
  <si>
    <t>Código fuente</t>
  </si>
  <si>
    <t>Nombre fuente</t>
  </si>
  <si>
    <t>APROPIACIÓN ACTUAL</t>
  </si>
  <si>
    <t xml:space="preserve">No. </t>
  </si>
  <si>
    <t xml:space="preserve">INCLUIR EN EL PAA </t>
  </si>
  <si>
    <t>2.3.2 Adquisición de bienes y servicios</t>
  </si>
  <si>
    <t>2.3.2.02.02.008 Servicios prestados a las empresas y servicios de producción</t>
  </si>
  <si>
    <t>10.02</t>
  </si>
  <si>
    <t>059</t>
  </si>
  <si>
    <t>Si</t>
  </si>
  <si>
    <t>21.10.02</t>
  </si>
  <si>
    <t>2.3.02.01.004 Productos metalicos y paquetes de software</t>
  </si>
  <si>
    <t>21.10.07</t>
  </si>
  <si>
    <t>127</t>
  </si>
  <si>
    <t>128</t>
  </si>
  <si>
    <t>21.20.01</t>
  </si>
  <si>
    <t>634</t>
  </si>
  <si>
    <t>635</t>
  </si>
  <si>
    <t>636</t>
  </si>
  <si>
    <t>637</t>
  </si>
  <si>
    <t>638</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</si>
  <si>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</si>
  <si>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</si>
  <si>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t>
  </si>
  <si>
    <t>Contratar la renovación del servicio de soporte y mantenimiento de la licencia de uso del software ISOLUCION (HSEQ, riesgos, Seguridad de la Información), herramienta especializada en la administración y automatización para el Sistema de Gestión Integral de la Universidad Pedagógica Nacional.</t>
  </si>
  <si>
    <t>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</si>
  <si>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</si>
  <si>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t>
  </si>
  <si>
    <t>Prestar servicios profesionales a la Oficina de Desarrollo y Planeación, en coordinación con la Vicerrectoría administrativa y fianciera, para orientar los procesos de estructuración de propuestas para el desarrollo de proyectos que fomenten el cumplimiento misional de la Universidad Pedagógica Nacional</t>
  </si>
  <si>
    <t>Prestar servicios profesionales a la Oficina de Desarrollo y Planeación, en coordinación con la Vicerrectoría administrativa y financiera, para orientar los procesos de estructuración de propuestas para el desarrollo de proyectos que fomenten el cumplimiento misional de la Universidad Pedagógica Nacional</t>
  </si>
  <si>
    <t>Alejandra</t>
  </si>
  <si>
    <t>Sandra</t>
  </si>
  <si>
    <t>Anguie</t>
  </si>
  <si>
    <t>Isolution</t>
  </si>
  <si>
    <t>Yaneth</t>
  </si>
  <si>
    <t>Ramiro</t>
  </si>
  <si>
    <t>xx</t>
  </si>
  <si>
    <t>Ana</t>
  </si>
  <si>
    <t>VAD</t>
  </si>
  <si>
    <t>ANGELA MARIA ROBLEDO</t>
  </si>
  <si>
    <t>109</t>
  </si>
  <si>
    <t>prestar servicios en el Centro de Lenguas realizando actividades propias de gestión documental, así como el apoyo a las demás actividades administrativas que le sean asignadas.</t>
  </si>
  <si>
    <t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t>
  </si>
  <si>
    <t>004</t>
  </si>
  <si>
    <t>024</t>
  </si>
  <si>
    <t>038</t>
  </si>
  <si>
    <t>046</t>
  </si>
  <si>
    <t>049</t>
  </si>
  <si>
    <t>077</t>
  </si>
  <si>
    <t>084</t>
  </si>
  <si>
    <t>101</t>
  </si>
  <si>
    <t>103</t>
  </si>
  <si>
    <t>106</t>
  </si>
  <si>
    <t>107</t>
  </si>
  <si>
    <t>108</t>
  </si>
  <si>
    <t>111</t>
  </si>
  <si>
    <t>112</t>
  </si>
  <si>
    <t>114</t>
  </si>
  <si>
    <t>115</t>
  </si>
  <si>
    <t>Prestar servicios profesionales especializados al despacho de la rectoría de la Universidad Pedagógica Nacional para asesorar a la dirección de la universidad en la orientación de las políticas de transversalización de género y de la cultura de la paz</t>
  </si>
  <si>
    <t>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t>
  </si>
  <si>
    <t>ARIAS BECERRA MARTHA LILIANA</t>
  </si>
  <si>
    <t>DESPACHO SBU</t>
  </si>
  <si>
    <t>Ingeniero</t>
  </si>
  <si>
    <t>Cuenta de 2023</t>
  </si>
  <si>
    <t>Costo Unitario 2023</t>
  </si>
  <si>
    <t>Mejores pagos a talleristas y entrenadores</t>
  </si>
  <si>
    <t>CPS 2022</t>
  </si>
  <si>
    <t>Valor 2022</t>
  </si>
  <si>
    <t>CPS 2022-1</t>
  </si>
  <si>
    <t>Valor 2022-1</t>
  </si>
  <si>
    <t>F1-2024</t>
  </si>
  <si>
    <t>FF-2024</t>
  </si>
  <si>
    <t>CENTRO DE EDUCACIÓN PARA LA PAZ, LA MEMORIA Y LOS DERECHOS HUMANOS</t>
  </si>
  <si>
    <t>Prestar servicios para la realización de actividades de planeación, cuidado, inventario y proyección de siembra, cultivos, banco de semillas, compostaje, lombricultivo, herramientas y mantenimiento de manera sustentable de los mismos.</t>
  </si>
  <si>
    <t>Liderar la construcción, validación y presentación de proyectos estratégicos de extensión para la Universidad en relación con el sistema nacional de formación docente fortaleciendo la interlocución con actores nacionales e internacionales.</t>
  </si>
  <si>
    <t>Prestar servicios para el desarrollo de las actividades del Grupo Interno de Trabajo Editorial en los procesos de Apoyo a la edición, pospublicación e indexación de revistas de la Universidad Pedagógica Nacional</t>
  </si>
  <si>
    <t>Prestar servicios para el desarrollo de las actividades del Grupo Interno de Trabajo Editorial en los procesos de apoyo a la coordinación de la Universidad Pedagógica Nacional</t>
  </si>
  <si>
    <t>Prestar servicios profesionales para realizar la ejecución presupuestal, administrativa y financiera de los convenios y contratos celebrados con otras entidades para el desarrollo de proyectos de investigación cofinanciados e interinstitucionales.</t>
  </si>
  <si>
    <t>Prestar servicios profesionales para el desarrollo de estrategias de formación e investigación de Cepaz que articulen y beneficien a los actores de la comunidad universitaria (docentes, estudiantes, administrativos, directivos) y/o en alianza con entidades externas con la perspectiva de la construcción de paz, la formación de sujetos para la paz, la memoria, y el respeto, la promoción y formación en derechos humanos, teniendo como una de sus prioridades las acciones del Observatorio de Educación en Derechos Humanos, Memoria y Paz</t>
  </si>
  <si>
    <t>Prestar servicios profesionales para el desarrollo de estrategias que permitan el cumplimiento de las metas del plan de acción y el PDI del Cepaz a través de la gestión, seguimiento y acompañamiento de alianzas locales, regionales, nacionales e internacionales, articulaciones internas con las unidades académico administrativas de la UPN contemplando los componentes de comunicación, apropiación social e incidencia en política pública asociados con las agendas para la paz, la memoria y los derechos humanos en los que el CEPAZ hace a través de propuestas educativas y pedagógicas.</t>
  </si>
  <si>
    <t>Prestar servicios especializados para sistematizar, analizar e interpretar datos cualitativos y cuantitativos relacionados con las trayectorias y alcance de las y los egresados de la Universidad Pedagógica Nacional en articulación al Centro de egresados.</t>
  </si>
  <si>
    <t>IVONNE NATHALIA NIVIA TORRES</t>
  </si>
  <si>
    <t>Omar Pulido Chávez</t>
  </si>
  <si>
    <t>Prestar servicios profesionales a la oficina jurídica y/o a la Vicerrectoría Académica para asistencia, asesoría y apoyo jurídico en los asuntos a su cargo, así como el acompañamiento a las dependencias adscritas</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</si>
  <si>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</si>
  <si>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 xml:space="preserve">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t>
  </si>
  <si>
    <t>(en blanco)</t>
  </si>
  <si>
    <t>80101500
84111700                             80111600</t>
  </si>
  <si>
    <t>Prestar los servicios profesionales para realizar acompañamiento operativo de tipo jurídico - legal y contractual, dentro de los procesos y procedimientos que desarrolla el Grupo de Contratación de la Vicerrectoría Administrativa y Financiera.</t>
  </si>
  <si>
    <t>Amparar el pago de honorarios a los miembros del Consejo Superior de la UPN para la Vigencia 2024</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</si>
  <si>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t>
  </si>
  <si>
    <t>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t>
  </si>
  <si>
    <t>enero</t>
  </si>
  <si>
    <t>Amparar la invitación de pares evaluadores externos requeridos para valorar la productividad académica susceptible de puntos salariales y ascensos de categoría de los docentes de planta de la Universidad Pedagógica Nacional</t>
  </si>
  <si>
    <t>Prestar servicios de acompañamiento jurídico y administrativo, para documentar y sustentar los asuntos y temas  sometidos a consideración de la Dirección del instituto Pedagógico Nacional</t>
  </si>
  <si>
    <t>Prestar servicios en el Centro de Lenguas realizando actividades propias de gestión documental, atención a usuarios, apoyo al manejo del inventario general del Centro de Lenguas, así como a las demás actividades administrativas que le sean asignadas.</t>
  </si>
  <si>
    <t>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2024.</t>
  </si>
  <si>
    <t>Prestar servicios para el desarrollo de los procesos de formación de las actividades académicas programadas por el Centro de Lenguas, durante el primer semestre de la vigencia 2024.</t>
  </si>
  <si>
    <t>Prestar los servicios profesionales para apoyar al Grupo Interno de Trabajo de Infraestructura Física en la implementación y seguimiento del Sistema de Gestión Ambiental de la Universidad Pedagógica Nacional.</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</si>
  <si>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</si>
  <si>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t>
  </si>
  <si>
    <t>MES</t>
  </si>
  <si>
    <t>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t>
  </si>
  <si>
    <t xml:space="preserve"> Amparar las cartas de invitación de evaluadores de proyectos y tesis de doctorado y garantizar bonificaciones a expertos nacionales e internacionales, e invitados a seminarios doctorales del programa de Doctorado interinstitucional en Educación.</t>
  </si>
  <si>
    <t>Prestar  servicios  profesionales  en  la  Subdirección  de  Bienestar  para  orientar  los  talleres  de Hip  Hop  y  Dance  Hall,  para  estudiantes,  funcionarios  y  los  de profundización  para  el  grupo representativo institucional de la UPN</t>
  </si>
  <si>
    <t>Intérpretes - Traductores - Mediadores - PROFESIONAL</t>
  </si>
  <si>
    <t>Prestar los servicios  de interpretación en Lengua de Señas Colombiana - Castellano, a los estudiantes Sordos matriculados en los distintos programas académicos de la UPN.</t>
  </si>
  <si>
    <t>/</t>
  </si>
  <si>
    <t>FACULTAD DE EDUCACIÓN  FÍSICA</t>
  </si>
  <si>
    <t>TECNICO</t>
  </si>
  <si>
    <t>Prestar los  servicios  para  la  realización  de actividades  de  planeación y ejecución de los planes  agrícolas  que  se  desarrollan  al  interior  del proyecto Wayra de la Universidad Pedagógica Nacional.</t>
  </si>
  <si>
    <t xml:space="preserve">YANETH ROMERO COCA </t>
  </si>
  <si>
    <t xml:space="preserve">SAIDA ANDREA GAITAN RUIZ </t>
  </si>
  <si>
    <t xml:space="preserve">Vicerrectora Administrativa y Financiera </t>
  </si>
  <si>
    <t>Jefe (E) Oficina de Desarrollo y Planeación.</t>
  </si>
  <si>
    <t>Fecha firma:</t>
  </si>
  <si>
    <t>Nota: Verificar la Información de SECOP II en el archivo Excel o filtrando por entidad en el siguiente enlace:</t>
  </si>
  <si>
    <t>https://community.secop.gov.co/Public/App/AnnualPurchasingPlanManagementPublic/Index?currentLanguage=es-CO&amp;Page=login&amp;Country=CO&amp;SkinName=CCE</t>
  </si>
  <si>
    <t>Prestar los servicios profesionales para realizar las acciones admistritativas y financieras necesarias para cumplir con los compromisos de pagos,  cierre y liquidación del convenio 4136 suscrito entre la UPN - Ministerio de las Culturas, las Artes y los Saberes, SAR 11623</t>
  </si>
  <si>
    <t>Prestar los servicios de apoyo admistritativo necesario para cumplir con los compromisos de pagos,  cierre y liquidación del convenio 4136 suscrito entre la UPN - Ministerio de las Culturas, las Artes y los Saberes, SAR 11623</t>
  </si>
  <si>
    <t>Asesorar, Apoyar y Ejecutar Auditorias y/o seguimientos incluidos en el Programa de Auditorias y Plan de Trabajo
vigencia 2024 aprobado por el Comité Institucional de Coordinación de Control Interno, así como proyectar los informes internos requeridos para el cumplimiento misional de la Oficina de Control Interno y las demás actividades que se requieran para el cumplimiento al Plan de Acción</t>
  </si>
  <si>
    <t>Asesorar, apoyar y ejecutar auditorias y/o seguimientos, proyectar los informes legales de carácter contable, financiero y presupuestal requeridos para el cumplimiento misional de la Oficina de Control Interno, vigencia 2024, aprobado por el Comité Institucional de Coordinación de Control Interno, y las demás actividades que demande esta Oficina para dar cumplimiento al Plan de Acción.</t>
  </si>
  <si>
    <t>Prestar los servicios profesionales para el diseño y desarrollo de formatos y estrategias para diseño  instruccional,  así  como  materiales  educativos  efectivos  y  experiencias  de  aprendizajevirtual,  desarrollo  de  programas  de  formación  virtual,  elaboración  de  guiones  pedagógicos,material didáctico, actividades interactivas y evaluación para medios electrónicos e-learning</t>
  </si>
  <si>
    <t>ferebro</t>
  </si>
  <si>
    <t>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t>
  </si>
  <si>
    <t>Prestar los servicios para orientar los talleres de salsa y bachata, dirigidos a losestudiantes, funcionarios y los de profundización para el Grupo Representativo Institucional de la UPN</t>
  </si>
  <si>
    <t>Amparar la adición del contrato de prestación de servicios No. 140-2024, cuyo objeto es Prestar servicios para el desarrollo de los procesos de formación de las actividades académicas programadas por el Centro de Lenguas, durante el primer semestre de la vigencia 2024.</t>
  </si>
  <si>
    <t>Amparar la adición del contrato de prestación de servicios No. 161-2024, cuyo objeto es Prestar servicios para el desarrollo de los procesos de formación de las actividades académicas programadas por el Centro de Lenguas, durante el primer semestre de la vigencia 2024.</t>
  </si>
  <si>
    <t>-</t>
  </si>
  <si>
    <t>Prestar servicios profesionales para fortalecer los procesos étnicos y culturales de la Universidad Pedagógica Nacional a través de la gestión externa y la articulación con la casa del pensamiento y la huerta ancestral, el Centro de Egresados, Unidades académico administrativas de la UPN y la comunidad en general</t>
  </si>
  <si>
    <t>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t>
  </si>
  <si>
    <t xml:space="preserve">Prestar los servicios profesionales para orientar y llevar a
cabo la implementación de componentes de la Política de
Gobierno Digital que propendan a la trasformación digital en
la Universidad Pedagógica Nacional. </t>
  </si>
  <si>
    <t>DESPACHO VGU</t>
  </si>
  <si>
    <t xml:space="preserve">DESPACHO VGU </t>
  </si>
  <si>
    <t>Prestar los servicios de curaduría para la exposición 10 años del grabado en la LAV.</t>
  </si>
  <si>
    <t>Prestar los servicios de curaduría para la exposición "Lutería" en la LAV.</t>
  </si>
  <si>
    <t>Prestar los servicios de curaduría para la exposición "Liliana Angulo" en la LAV.</t>
  </si>
  <si>
    <t>90151600; 82141600</t>
  </si>
  <si>
    <t xml:space="preserve">Servicios prestados a las empresas y servicios de producción </t>
  </si>
  <si>
    <t>Servicios prestados a las empresas y servicios de producción </t>
  </si>
  <si>
    <t xml:space="preserve">Prestar el servicio profesional especializado integral como promotor para realizar la gestión, enlace y operatividad de los convenios suscritos y/o a suscribir entre la Universidad Pedagógica Nacional y  alcaldías de municipios de Cundinamarca y otras entidades territoriales,  en el marco de los  Planes Integrales de Cobertura de la UPN. </t>
  </si>
  <si>
    <t>Amparar la adición del contrato de prestación de servicios No. 096 de 2024, cuyo objeto es Prestar servicios para el desarrollo de los procesos de formación de las actividades académicas programadas por el Centro de Lenguas, durante el primer semestre de la vigencia 2024.</t>
  </si>
  <si>
    <t>Amparar la adición del contrato de prestación de servicios No. 128 de 2024, cuyo objeto es Prestar servicios para el desarrollo de los procesos de formación de las actividades académicas programadas por el Centro de Lenguas, durante el primer semestre de la vigencia 2024.</t>
  </si>
  <si>
    <t>Amparar la adición del contrato de prestación de servicios No. 173 de 2024, cuyo objeto es Prestar servicios para el desarrollo de los procesos de formación de las actividades académicas programadas por el Centro de Lenguas, durante el primer semestre de la vigencia 2024.</t>
  </si>
  <si>
    <t>Prestar servicios profesionales especializados al despacho de la rectoría de la Universidad Pedagógica Nacional en asuntos relacionados con la gestión académica, institucional, sectorial y de relaciones públicas para el fortalecimiento y el cumplimiento de compromisos estratégicos de la universidad</t>
  </si>
  <si>
    <t>Prestar servicios profesionales de apoyo y asistencia técnica a la Oficina de Desarrollo y Planeación para el proceso de Planeación Financiera relacionadas con las proyecciones presupuestales y financieras requeridas por la institución.</t>
  </si>
  <si>
    <t xml:space="preserve">Prestar servicios profesionales especializados al despacho de la rectoría de la Universidad Pedagógica Nacional en asuntos relacionados con el desarrollo de contenidos educativos, académicos, institucionales, sectoriales y demás requeridos en el desarrollo de las funciones misionales de la institución. </t>
  </si>
  <si>
    <t>Amparar la adición del contrato de prestación de servicios No. 007  de 2024, cuyo objeto es  "Prestar servicios de acompañamiento jurídico y administrativo, para documentar y sustentar los asuntos y temas  sometidos a consideración de la Dirección del instituto Pedagógico Nacional".</t>
  </si>
  <si>
    <t>GRUPO INTERNO DE TRABAJO DE GESTIÓN DOCUMENTAL</t>
  </si>
  <si>
    <t>junio</t>
  </si>
  <si>
    <t>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t>
  </si>
  <si>
    <t xml:space="preserve">Apoyar y realizar las actividades de la gestión documental en la Universidad Pedagogica Nacional </t>
  </si>
  <si>
    <t>Prestar servicios para el desarrollo de los procesos de formación de las actividades académicas programadas por el Centro de Lenguas, durante el segundo semestre de la vigencia 2024.</t>
  </si>
  <si>
    <t> Prestar servicios profesionales para planificar y realizar actividades recreo-deportivas y lúdicas dirigidas a funcionarios y docentes en maro del Plan Anual de actividades de la Subdirección de Bienestar Universitario.</t>
  </si>
  <si>
    <t>CUOTAS DIFERENTES</t>
  </si>
  <si>
    <t>604 5941844</t>
  </si>
  <si>
    <t>613 5941844</t>
  </si>
  <si>
    <t>616 5941844</t>
  </si>
  <si>
    <t>Prestar  servicios profesionales para dinamizar acciones recreo deportivas y culturales en las Instalaciones de la Universidad Pedagógica Nacional, lideradas por los programas de
cultura y deporte de la Subdirección de Bienestar Universitario</t>
  </si>
  <si>
    <t>Prestar los servicios profesionales de apoyo para  adelantar acciones en el desarrollo  y sostenibilidad  del Modelo integrado de planeación y gestión MIPG  en ejecución a los  procesos administrativos, asi como el levantamiento  de  documentación, en los ejes centrales del Sistema de Gestión Integral de la Universidad Pedagógica Nacional</t>
  </si>
  <si>
    <t>Prestar los servicios profesionales para apoyar y promoveer el diseño  e implementación del modelo integrado de planeación y gestión MIPG en concordancia con el Sistema de Gestión Integral de la Universidad Pedagógica Nacional</t>
  </si>
  <si>
    <t>617 5941844</t>
  </si>
  <si>
    <t>618 5941844</t>
  </si>
  <si>
    <t xml:space="preserve">
CLE-346
</t>
  </si>
  <si>
    <t>CLE-347</t>
  </si>
  <si>
    <t>CLE-348</t>
  </si>
  <si>
    <t>CLE-356</t>
  </si>
  <si>
    <t>CLE-357</t>
  </si>
  <si>
    <t>CLE-358</t>
  </si>
  <si>
    <t>CLE-359</t>
  </si>
  <si>
    <t>CLE-360</t>
  </si>
  <si>
    <t>CLE-373</t>
  </si>
  <si>
    <t>CLE-374</t>
  </si>
  <si>
    <t>CLE-375</t>
  </si>
  <si>
    <t>CLE-378</t>
  </si>
  <si>
    <t>CLE-382</t>
  </si>
  <si>
    <t>CLE-383</t>
  </si>
  <si>
    <t>CLE-384</t>
  </si>
  <si>
    <t xml:space="preserve">GASTOS DE FUNCIONAMIENTO </t>
  </si>
  <si>
    <t>Amparar la adición del contrato de prestación de servicios No. 142 de 2024, cuyo objeto es "Prestar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</si>
  <si>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Amparar la adición del contrato de prestación de servicios No. 062 de 2024, cuyo objeto es "Prestar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</si>
  <si>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Amparar la adición del contrato de prestación de servicios No. 072 de 2024, cuyo objeto es "Prestar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</si>
  <si>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Amparar la adición del contrato de prestación de servicios No. 053 de 2024, cuyo objeto es "prestar los servicios profesionales para administrar, soportar y garantizar la disponibilidad de la plataforma de servidores físicos y virtuales, incluyendo la infraestructura web de la Universidad Pedagógica Nacional".</t>
  </si>
  <si>
    <t>Prestar servicios de atención primaria en enfermería y primeros auxilios en la sede del Instituto Pedagógico Nacional -IPN a niños, jóvenes y adultos que se encuentren desarrollando sus actividades académicas, extracurriculares o de extensión, así como el apoyo a acciones de carácter operativo de la coordinación académica del Centro de Lenguas, durante el segundo semestre de la vigencia 2024.</t>
  </si>
  <si>
    <t>agosto</t>
  </si>
  <si>
    <t>CLE-317</t>
  </si>
  <si>
    <t>CLE-318</t>
  </si>
  <si>
    <t>CLE-377</t>
  </si>
  <si>
    <t>CLE-408</t>
  </si>
  <si>
    <t>CLE-409</t>
  </si>
  <si>
    <t>CON-268</t>
  </si>
  <si>
    <t>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</si>
  <si>
    <t>Prestar servicios profesionales para realizar las actividades de diseño, desarrollo, integración y mantenimiento de aplicaciones de la Universidad Pedagógica Nacional utilizando metodologías ágiles de desarrollo de software</t>
  </si>
  <si>
    <t>Plan Integral de Cobertura 2024</t>
  </si>
  <si>
    <t>10.01</t>
  </si>
  <si>
    <t xml:space="preserve">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t>
  </si>
  <si>
    <t>Prestar servicios profesionales para apoyar los procesos de gestión administrativa en el sistema académico y financiero de la Universidad en pro de la estrategía de regionalización encaminada a la ampliación de cobertura dispuesta en la Universidad Pedagógica Nacional.</t>
  </si>
  <si>
    <t>Prestar servicios técincos para apoyar los procesos de gestión administrativa en pro de la estrategía de regionalización encaminada a la ampliación de cobertura dispuesta en la Universidad Pedagógica Nacional. (Provincia 1)</t>
  </si>
  <si>
    <t>Prestar servicios técincos para apoyar los procesos de gestión administrativa en pro de la estrategía de regionalización encaminada a la ampliación de cobertura dispuesta en la Universidad Pedagógica Nacional. (Provincia 2)</t>
  </si>
  <si>
    <t>Prestar servicios técincos para apoyar los procesos de gestión administrativa en pro de la estrategía de regionalización encaminada a la ampliación de cobertura dispuesta en la Universidad Pedagógica Nacional. (Provincia 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</si>
  <si>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</si>
  <si>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Prestar servicios profesionales para la recepción, direccionamiento y articulacion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t>
  </si>
  <si>
    <t>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t>
  </si>
  <si>
    <t>Amparar la adición del contrato de prestación de servicios No. 386-2024, cuyo objeto es Prestar servicios para el desarrollo de los procesos de formación de las actividades académicas programadas por el Centro de Lenguas, durante el segundo semestre de la vigencia 2024.</t>
  </si>
  <si>
    <t>septiembre</t>
  </si>
  <si>
    <t>Amparar la adición del contrato de prestación de servicios No. 506-2024, cuyo objeto es Prestar servicios para el desarrollo de los procesos de formación de las actividades académicas programadas por el Centro de Lenguas, durante el segundo semestre de la vigencia 2024.</t>
  </si>
  <si>
    <t>Amparar la adición del contrato de prestación de servicios No. 500-2024, cuyo objeto es Prestar servicios para el desarrollo de los procesos de formación de las actividades académicas programadas por el Centro de Lenguas, durante el segundo semestre de la vigencia 2024.</t>
  </si>
  <si>
    <t>octubre</t>
  </si>
  <si>
    <t>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t>
  </si>
  <si>
    <t>Amparar la adición al Contrato de Prestacioon de Servicios No. 596 de 2024 cuyo objeto es: Prestar servicios profesionales para realizar las actividades de diseño, desarrollo, integración y mantenimiento de aplicaciones de la Universidad Pedagógica Nacional utilizando metodologías ágiles de desarrollo de software.</t>
  </si>
  <si>
    <t>Amparar la adición al Contrato de Prestacioon de Servicios No. 068 de 2024 cuyo objeto es: 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</si>
  <si>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Amparar la adición al Contrato de Prestacioon de Servicios No. 082 de 2024 cuyo objeto es: 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</si>
  <si>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CEPAZ</t>
  </si>
  <si>
    <t>Amparar la adición del contrato de prestación de servicios No. 477-2024, cuyo objeto es Prestar servicios para el desarrollo de los procesos de formación de las actividades académicas programadas por el Centro de Lenguas, durante el segundo semestre de la vigencia 2024.</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</si>
  <si>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t>
  </si>
  <si>
    <t>Amparar el pago de evaluaciones de proyectos de tesis y tesis doctorales</t>
  </si>
  <si>
    <t>Prestar los servicios profesionales de auditoría del segundo ciclo seguimiento a la norma ISO 9001: 2015 del certificado para el Sistema de Gestión de Calidad de la Universidad Pedagógica Nacional, con el fin de verificar el cumplimiento permanente de dicho sistema con los requisitos de la norma y darle cumplimiento al programa de auditoría de cada ciclo de certificación (3) años, según el Reglamento de la Certificación ICONTEC de Sistemas de Gestión (ES-R-SG-001).</t>
  </si>
  <si>
    <t xml:space="preserve"> 84111600                               80111600</t>
  </si>
  <si>
    <t>Amparar la adición del contrato de prestación de servicios No. 049 de 2024 , cuyo objeto es "Prestar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</si>
  <si>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 xml:space="preserve"> Amparar la adición del contrato de prestación de servicios No. 02 de 2024 , cuyo objeto es "Prestar los servicios profesionales para realizar acompañamiento operativo de tipo jurídico - legal y contractual, dentro de los procesos y procedimientos que desarrolla el Grupo de Contratación de la Vicerrectoría Administrativa y Financiera"</t>
  </si>
  <si>
    <t>Amparar la adición del contrato de prestación de servicios No. 504-2024, cuyo objeto es Prestar servicios para el desarrollo de los procesos de formación de las actividades académicas programadas por el Centro de Lenguas, durante el segundo semestre de la vigencia 2024.</t>
  </si>
  <si>
    <t>Amparar la adición del contrato de prestación de servicios No. 491-2024, cuyo objeto es Prestar servicios para el desarrollo de los procesos de formación de las actividades académicas programadas por el Centro de Lenguas, durante el segundo semestre de la vigencia 2024.</t>
  </si>
  <si>
    <t>Amparar la adición del contrato de prestación de servicios No. 471-2024, cuyo objeto es Prestar servicios para el desarrollo de los procesos de formación de las actividades académicas programadas por el Centro de Lenguas, durante el segundo semestre de la vigencia 2024.</t>
  </si>
  <si>
    <t>Amparar la adición del contrato de prestación de servicios No. 453-2024, cuyo objeto es Prestar servicios para el desarrollo de los procesos de formación de las actividades académicas programadas por el Centro de Lenguas, durante el segundo semestre de la vigencia 2024.</t>
  </si>
  <si>
    <t>Amparar la adición del contrato de prestación de servicios No. 505-2024, cuyo objeto es Prestar servicios para el desarrollo de los procesos de formación de las actividades académicas programadas por el Centro de Lenguas, durante el segundo semestre de la vigencia 2024.</t>
  </si>
  <si>
    <t>Amparar la adición del contrato de prestación de servicios No. 410-2024, cuyo objeto es Prestar servicios para el desarrollo de los procesos de formación de las actividades académicas programadas por el Centro de Lenguas, durante el segundo semestre de la vigencia 2024.</t>
  </si>
  <si>
    <t>Amparar la adición del contrato de prestación de servicios No. 465-2024, cuyo objeto es Prestar servicios para el desarrollo de los procesos de formación de las actividades académicas programadas por el Centro de Lenguas, durante el segundo semestre de la vigencia 2024.</t>
  </si>
  <si>
    <t>Amparar la adición del contrato de prestación de servicios No. 566 de 2024, cuyo objeto es "Prestar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</si>
  <si>
    <t>OFICINA RELACIONES INTERINSTITUCIONALES</t>
  </si>
  <si>
    <t>Prestar los servicios profesionales a la Universidad Pedagógica Nacional para el diseño e implementación de espacios pedagógicos y académicos que fortalezcan la política institucional sobre el cuidado</t>
  </si>
  <si>
    <t>Amparar la adición del contrato de prestación de servicios No. 482-2024, cuyo objeto es Prestar servicios para el desarrollo de los procesos de formación de las actividades académicas programadas por el Centro de Lenguas, durante el segundo semestre de la vigencia 2024.</t>
  </si>
  <si>
    <t>Amparar la adición del contrato de prestación de servicios No. 476-2024, cuyo objeto es Prestar servicios para el desarrollo de los procesos de formación de las actividades académicas programadas por el Centro de Lenguas, durante el segundo semestre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</si>
</sst>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3" formatCode="_-&quot;$&quot;\ * #,##0.00_-;\-&quot;$&quot;\ * #,##0.00_-;_-&quot;$&quot;\ * &quot;-&quot;??_-;_-@_-"/>
  </numFmts>
  <fonts count="6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u/>
      <sz val="11"/>
      <color theme="10"/>
      <name val="Calibri"/>
      <family val="2"/>
      <scheme val="minor"/>
    </font>
    <font>
      <sz val="10"/>
      <color theme="1"/>
      <name val="Verdana"/>
      <family val="2"/>
    </font>
    <font>
      <b/>
      <sz val="11"/>
      <color theme="1"/>
      <name val="Calibri"/>
      <family val="2"/>
      <scheme val="minor"/>
    </font>
    <font>
      <b/>
      <sz val="11"/>
      <color theme="0"/>
      <name val="Calibri"/>
      <family val="2"/>
      <scheme val="minor"/>
    </font>
    <font>
      <b/>
      <sz val="12"/>
      <color theme="0"/>
      <name val="Calibri"/>
      <family val="2"/>
      <scheme val="minor"/>
    </font>
    <font>
      <sz val="8"/>
      <name val="Arial"/>
      <family val="2"/>
    </font>
    <font>
      <sz val="10"/>
      <color theme="1"/>
      <name val="Calibri"/>
      <family val="2"/>
      <scheme val="minor"/>
    </font>
    <font>
      <sz val="9"/>
      <color theme="1"/>
      <name val="Calibri"/>
      <family val="2"/>
      <scheme val="minor"/>
    </font>
    <font>
      <b/>
      <sz val="8"/>
      <color theme="0"/>
      <name val="Calibri"/>
      <family val="2"/>
      <scheme val="minor"/>
    </font>
    <font>
      <sz val="10"/>
      <color rgb="FF0070C0"/>
      <name val="Calibri"/>
      <family val="2"/>
      <scheme val="minor"/>
    </font>
    <font>
      <sz val="8"/>
      <color theme="1"/>
      <name val="Calibri"/>
      <family val="2"/>
      <scheme val="minor"/>
    </font>
    <font>
      <sz val="11"/>
      <color rgb="FF000000"/>
      <name val="Calibri"/>
      <family val="2"/>
      <scheme val="minor"/>
    </font>
    <font>
      <u/>
      <sz val="9"/>
      <color theme="1"/>
      <name val="Calibri"/>
      <family val="2"/>
      <scheme val="minor"/>
    </font>
    <font>
      <b/>
      <sz val="9"/>
      <color theme="1"/>
      <name val="Calibri"/>
      <family val="2"/>
      <scheme val="minor"/>
    </font>
    <font>
      <sz val="8"/>
      <name val="Calibri"/>
      <family val="2"/>
      <scheme val="minor"/>
    </font>
    <font>
      <sz val="9"/>
      <color theme="1"/>
      <name val="Arial"/>
      <family val="2"/>
    </font>
    <font>
      <b/>
      <sz val="10"/>
      <color theme="1"/>
      <name val="Verdana"/>
      <family val="2"/>
    </font>
    <font>
      <b/>
      <sz val="9"/>
      <color theme="0"/>
      <name val="Arial"/>
      <family val="2"/>
    </font>
    <font>
      <sz val="8"/>
      <color theme="1"/>
      <name val="Arial"/>
      <family val="2"/>
    </font>
    <font>
      <b/>
      <sz val="8"/>
      <color theme="0"/>
      <name val="Arial"/>
      <family val="2"/>
    </font>
    <font>
      <u/>
      <sz val="8"/>
      <color theme="10"/>
      <name val="Arial"/>
      <family val="2"/>
    </font>
    <font>
      <sz val="8"/>
      <color theme="0"/>
      <name val="Arial"/>
      <family val="2"/>
    </font>
    <font>
      <sz val="9"/>
      <name val="Arial"/>
      <family val="2"/>
    </font>
    <font>
      <sz val="9"/>
      <color theme="0"/>
      <name val="Arial"/>
      <family val="2"/>
    </font>
    <font>
      <b/>
      <sz val="14"/>
      <name val="Arial"/>
      <family val="2"/>
    </font>
    <font>
      <b/>
      <sz val="16"/>
      <name val="Arial"/>
      <family val="2"/>
    </font>
    <font>
      <b/>
      <sz val="14"/>
      <color theme="8" tint="-0.249977111117893"/>
      <name val="Arial"/>
      <family val="2"/>
    </font>
    <font>
      <b/>
      <sz val="12"/>
      <color theme="8" tint="-0.249977111117893"/>
      <name val="Arial"/>
      <family val="2"/>
    </font>
    <font>
      <b/>
      <sz val="12"/>
      <name val="Arial"/>
      <family val="2"/>
    </font>
    <font>
      <b/>
      <sz val="10"/>
      <color theme="1"/>
      <name val="Calibri"/>
      <family val="2"/>
      <scheme val="minor"/>
    </font>
    <font>
      <b/>
      <sz val="8"/>
      <color theme="1"/>
      <name val="Calibri"/>
      <family val="2"/>
      <scheme val="minor"/>
    </font>
    <font>
      <b/>
      <sz val="8"/>
      <color rgb="FF00B050"/>
      <name val="Calibri"/>
      <family val="2"/>
      <scheme val="minor"/>
    </font>
    <font>
      <sz val="11"/>
      <color rgb="FF00B050"/>
      <name val="Calibri"/>
      <family val="2"/>
      <scheme val="minor"/>
    </font>
    <font>
      <sz val="8"/>
      <color rgb="FF00B050"/>
      <name val="Calibri"/>
      <family val="2"/>
      <scheme val="minor"/>
    </font>
    <font>
      <b/>
      <sz val="10"/>
      <color rgb="FF00B050"/>
      <name val="Calibri"/>
      <family val="2"/>
      <scheme val="minor"/>
    </font>
    <font>
      <sz val="8"/>
      <color rgb="FF0070C0"/>
      <name val="Calibri"/>
      <family val="2"/>
      <scheme val="minor"/>
    </font>
    <font>
      <b/>
      <sz val="6"/>
      <name val="Arial"/>
      <family val="2"/>
    </font>
    <font>
      <b/>
      <sz val="8"/>
      <color rgb="FFFF0000"/>
      <name val="Arial"/>
      <family val="2"/>
    </font>
    <font>
      <sz val="8"/>
      <color theme="0"/>
      <name val="Calibri"/>
      <family val="2"/>
      <scheme val="minor"/>
    </font>
    <font>
      <sz val="8"/>
      <color rgb="FFFF0000"/>
      <name val="Arial"/>
      <family val="2"/>
    </font>
    <font>
      <sz val="11"/>
      <name val="Calibri"/>
      <family val="2"/>
      <scheme val="minor"/>
    </font>
    <font>
      <sz val="8"/>
      <color rgb="FF0070C0"/>
      <name val="Arial"/>
      <family val="2"/>
    </font>
    <font>
      <sz val="8"/>
      <color theme="5" tint="-0.499984740745262"/>
      <name val="Arial"/>
      <family val="2"/>
    </font>
    <font>
      <sz val="8"/>
      <color theme="5" tint="-0.499984740745262"/>
      <name val="Calibri"/>
      <family val="2"/>
      <scheme val="minor"/>
    </font>
    <font>
      <sz val="8"/>
      <color rgb="FFFF0000"/>
      <name val="Calibri"/>
      <family val="2"/>
      <scheme val="minor"/>
    </font>
    <font>
      <b/>
      <sz val="9"/>
      <name val="Arial"/>
      <family val="2"/>
    </font>
    <font>
      <b/>
      <sz val="14"/>
      <color theme="1"/>
      <name val="Calibri"/>
      <family val="2"/>
      <scheme val="minor"/>
    </font>
    <font>
      <b/>
      <sz val="9"/>
      <color theme="1"/>
      <name val="Arial"/>
      <family val="2"/>
    </font>
    <font>
      <i/>
      <sz val="8"/>
      <color theme="1"/>
      <name val="Arial"/>
      <family val="2"/>
    </font>
    <font>
      <i/>
      <sz val="9"/>
      <color theme="1"/>
      <name val="Arial"/>
      <family val="2"/>
    </font>
    <font>
      <u/>
      <sz val="9"/>
      <color theme="1"/>
      <name val="Arial"/>
      <family val="2"/>
    </font>
    <font>
      <b/>
      <sz val="8"/>
      <color theme="1"/>
      <name val="Arial"/>
      <family val="2"/>
    </font>
    <font>
      <u/>
      <sz val="8"/>
      <color theme="1"/>
      <name val="Arial"/>
      <family val="2"/>
    </font>
    <font>
      <sz val="9"/>
      <name val="Calibri"/>
      <family val="2"/>
      <scheme val="minor"/>
    </font>
    <font>
      <u/>
      <sz val="9"/>
      <name val="Arial"/>
      <family val="2"/>
    </font>
    <font>
      <b/>
      <sz val="9"/>
      <name val="Calibri"/>
      <family val="2"/>
      <scheme val="minor"/>
    </font>
    <font>
      <u/>
      <sz val="9"/>
      <color theme="10"/>
      <name val="Arial"/>
      <family val="2"/>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499984740745262"/>
        <bgColor indexed="64"/>
      </patternFill>
    </fill>
    <fill>
      <patternFill patternType="solid">
        <fgColor theme="8"/>
        <bgColor indexed="64"/>
      </patternFill>
    </fill>
    <fill>
      <patternFill patternType="solid">
        <fgColor rgb="FFFFCCFF"/>
        <bgColor indexed="64"/>
      </patternFill>
    </fill>
    <fill>
      <patternFill patternType="solid">
        <fgColor theme="5" tint="0.79998168889431442"/>
        <bgColor indexed="64"/>
      </patternFill>
    </fill>
    <fill>
      <patternFill patternType="solid">
        <fgColor rgb="FFC00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4" tint="-0.24994659260841701"/>
      </right>
      <top/>
      <bottom/>
      <diagonal/>
    </border>
    <border>
      <left style="thin">
        <color theme="4" tint="-0.24994659260841701"/>
      </left>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9">
    <xf numFmtId="0" fontId="0" fillId="0" borderId="0"/>
    <xf numFmtId="44" fontId="1" fillId="0" borderId="0" applyFont="0" applyFill="0" applyBorder="0" applyAlignment="0" applyProtection="0"/>
    <xf numFmtId="0" fontId="4" fillId="0" borderId="0"/>
    <xf numFmtId="0" fontId="5" fillId="0" borderId="0" applyNumberFormat="0" applyFill="0" applyBorder="0" applyAlignment="0" applyProtection="0"/>
    <xf numFmtId="49" fontId="6" fillId="0" borderId="0" applyFill="0" applyBorder="0" applyProtection="0">
      <alignment horizontal="left" vertical="center"/>
    </xf>
    <xf numFmtId="9" fontId="1" fillId="0" borderId="0" applyFont="0" applyFill="0" applyBorder="0" applyAlignment="0" applyProtection="0"/>
    <xf numFmtId="0" fontId="21" fillId="25"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1" fillId="0" borderId="0" applyFont="0" applyFill="0" applyBorder="0" applyAlignment="0" applyProtection="0"/>
  </cellStyleXfs>
  <cellXfs count="548">
    <xf numFmtId="0" fontId="0" fillId="0" borderId="0" xfId="0"/>
    <xf numFmtId="0" fontId="0" fillId="0" borderId="0" xfId="0" applyAlignment="1">
      <alignment vertical="center"/>
    </xf>
    <xf numFmtId="0" fontId="7"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65" fontId="0" fillId="0" borderId="0" xfId="1" applyNumberFormat="1" applyFont="1" applyAlignment="1">
      <alignment vertical="center"/>
    </xf>
    <xf numFmtId="0" fontId="0" fillId="10" borderId="1" xfId="0" applyFill="1" applyBorder="1" applyAlignment="1">
      <alignment vertical="center"/>
    </xf>
    <xf numFmtId="165" fontId="0" fillId="10" borderId="1" xfId="1" applyNumberFormat="1" applyFont="1" applyFill="1" applyBorder="1" applyAlignment="1">
      <alignment vertical="center"/>
    </xf>
    <xf numFmtId="0" fontId="0" fillId="10" borderId="1" xfId="0" applyFill="1" applyBorder="1" applyAlignment="1">
      <alignment horizontal="center" vertical="center"/>
    </xf>
    <xf numFmtId="0" fontId="8" fillId="9" borderId="1" xfId="0" applyFont="1" applyFill="1" applyBorder="1" applyAlignment="1">
      <alignment horizontal="center" vertical="center"/>
    </xf>
    <xf numFmtId="0" fontId="0" fillId="18" borderId="1" xfId="0" applyFill="1" applyBorder="1" applyAlignment="1">
      <alignment vertical="center"/>
    </xf>
    <xf numFmtId="0" fontId="0" fillId="18" borderId="1" xfId="0" applyFill="1" applyBorder="1" applyAlignment="1">
      <alignment horizontal="center" vertical="center"/>
    </xf>
    <xf numFmtId="165" fontId="0" fillId="18" borderId="1" xfId="1" applyNumberFormat="1" applyFont="1" applyFill="1" applyBorder="1" applyAlignment="1">
      <alignment vertical="center"/>
    </xf>
    <xf numFmtId="0" fontId="0" fillId="19" borderId="1" xfId="0" applyFill="1" applyBorder="1" applyAlignment="1">
      <alignment vertical="center"/>
    </xf>
    <xf numFmtId="0" fontId="0" fillId="19" borderId="1" xfId="0" applyFill="1" applyBorder="1" applyAlignment="1">
      <alignment horizontal="center" vertical="center"/>
    </xf>
    <xf numFmtId="165" fontId="0" fillId="19" borderId="1" xfId="1" applyNumberFormat="1" applyFont="1" applyFill="1" applyBorder="1" applyAlignment="1">
      <alignment vertical="center"/>
    </xf>
    <xf numFmtId="0" fontId="9" fillId="9" borderId="1" xfId="0" applyFont="1" applyFill="1" applyBorder="1" applyAlignment="1">
      <alignment horizontal="center" vertical="center"/>
    </xf>
    <xf numFmtId="0" fontId="0" fillId="21" borderId="1" xfId="0" applyFill="1" applyBorder="1" applyAlignment="1">
      <alignment horizontal="center" vertical="center"/>
    </xf>
    <xf numFmtId="0" fontId="0" fillId="22" borderId="1" xfId="0" applyFill="1" applyBorder="1" applyAlignment="1">
      <alignment vertical="center"/>
    </xf>
    <xf numFmtId="42" fontId="2" fillId="22" borderId="1" xfId="0" applyNumberFormat="1" applyFont="1" applyFill="1" applyBorder="1" applyAlignment="1">
      <alignment horizontal="center" vertical="center"/>
    </xf>
    <xf numFmtId="0" fontId="0" fillId="11" borderId="1" xfId="0" applyFill="1" applyBorder="1" applyAlignment="1">
      <alignment horizontal="center" vertical="center"/>
    </xf>
    <xf numFmtId="0" fontId="0" fillId="15" borderId="1" xfId="0" applyFill="1" applyBorder="1" applyAlignment="1">
      <alignment vertical="center" wrapText="1"/>
    </xf>
    <xf numFmtId="42" fontId="2" fillId="15" borderId="1" xfId="0" applyNumberFormat="1" applyFont="1" applyFill="1" applyBorder="1" applyAlignment="1">
      <alignment horizontal="center" vertical="center"/>
    </xf>
    <xf numFmtId="0" fontId="16" fillId="15" borderId="1" xfId="0" applyFont="1" applyFill="1" applyBorder="1" applyAlignment="1">
      <alignment vertical="center" wrapText="1"/>
    </xf>
    <xf numFmtId="0" fontId="0" fillId="10" borderId="1" xfId="0" applyFill="1" applyBorder="1" applyAlignment="1">
      <alignment horizontal="left" vertical="center" wrapText="1"/>
    </xf>
    <xf numFmtId="0" fontId="0" fillId="10" borderId="1" xfId="0" applyFill="1" applyBorder="1" applyAlignment="1">
      <alignment vertical="center" wrapText="1"/>
    </xf>
    <xf numFmtId="42" fontId="2" fillId="10" borderId="1" xfId="0" applyNumberFormat="1" applyFont="1" applyFill="1" applyBorder="1" applyAlignment="1">
      <alignment horizontal="center" vertical="center" wrapText="1"/>
    </xf>
    <xf numFmtId="0" fontId="0" fillId="14"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42" fontId="2" fillId="8" borderId="1" xfId="0" applyNumberFormat="1" applyFont="1" applyFill="1" applyBorder="1" applyAlignment="1">
      <alignment horizontal="center" vertical="center" wrapText="1"/>
    </xf>
    <xf numFmtId="0" fontId="0" fillId="22" borderId="1" xfId="0" applyFill="1" applyBorder="1" applyAlignment="1">
      <alignment horizontal="left" vertical="center"/>
    </xf>
    <xf numFmtId="0" fontId="11" fillId="22" borderId="1" xfId="0" applyFont="1" applyFill="1" applyBorder="1" applyAlignment="1">
      <alignment horizontal="left" vertical="center"/>
    </xf>
    <xf numFmtId="0" fontId="23" fillId="12" borderId="1"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20" fillId="0" borderId="0" xfId="0" applyFont="1" applyAlignment="1" applyProtection="1">
      <alignment vertical="center"/>
      <protection hidden="1"/>
    </xf>
    <xf numFmtId="0" fontId="20" fillId="0" borderId="0" xfId="0" applyFont="1" applyProtection="1">
      <protection hidden="1"/>
    </xf>
    <xf numFmtId="164" fontId="13" fillId="5" borderId="1" xfId="0" applyNumberFormat="1" applyFont="1" applyFill="1" applyBorder="1" applyAlignment="1" applyProtection="1">
      <alignment vertical="center"/>
      <protection hidden="1"/>
    </xf>
    <xf numFmtId="0" fontId="24" fillId="9" borderId="1" xfId="6" applyFont="1" applyFill="1" applyBorder="1" applyAlignment="1" applyProtection="1">
      <alignment horizontal="center" vertical="center" wrapText="1"/>
      <protection hidden="1"/>
    </xf>
    <xf numFmtId="0" fontId="24" fillId="16" borderId="1" xfId="6" applyFont="1" applyFill="1" applyBorder="1" applyAlignment="1" applyProtection="1">
      <alignment horizontal="center" vertical="center" wrapText="1"/>
      <protection hidden="1"/>
    </xf>
    <xf numFmtId="1" fontId="22" fillId="16" borderId="1" xfId="6" applyNumberFormat="1" applyFont="1" applyFill="1" applyBorder="1" applyAlignment="1" applyProtection="1">
      <alignment horizontal="center" vertical="center" wrapText="1"/>
      <protection hidden="1"/>
    </xf>
    <xf numFmtId="0" fontId="26" fillId="16" borderId="1" xfId="6" applyFont="1" applyFill="1" applyBorder="1" applyAlignment="1" applyProtection="1">
      <alignment horizontal="center" vertical="center" wrapText="1"/>
      <protection hidden="1"/>
    </xf>
    <xf numFmtId="3" fontId="22" fillId="5" borderId="1" xfId="0" applyNumberFormat="1" applyFont="1" applyFill="1" applyBorder="1" applyAlignment="1" applyProtection="1">
      <alignment horizontal="center" vertical="center" wrapText="1"/>
      <protection hidden="1"/>
    </xf>
    <xf numFmtId="3" fontId="22" fillId="13" borderId="1" xfId="0" applyNumberFormat="1" applyFont="1" applyFill="1" applyBorder="1" applyAlignment="1" applyProtection="1">
      <alignment horizontal="center" vertical="center" wrapText="1"/>
      <protection hidden="1"/>
    </xf>
    <xf numFmtId="0" fontId="23" fillId="0" borderId="1" xfId="0" quotePrefix="1" applyFont="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15" fillId="0" borderId="1" xfId="0" applyFont="1" applyBorder="1" applyAlignment="1" applyProtection="1">
      <alignment vertical="center" wrapText="1"/>
      <protection hidden="1"/>
    </xf>
    <xf numFmtId="167" fontId="23" fillId="20" borderId="1" xfId="0" applyNumberFormat="1" applyFont="1" applyFill="1" applyBorder="1" applyAlignment="1" applyProtection="1">
      <alignment horizontal="center" vertical="center"/>
      <protection hidden="1"/>
    </xf>
    <xf numFmtId="0" fontId="23" fillId="20" borderId="1" xfId="0" applyFont="1" applyFill="1" applyBorder="1" applyAlignment="1" applyProtection="1">
      <alignment horizontal="center" vertical="center"/>
      <protection hidden="1"/>
    </xf>
    <xf numFmtId="49" fontId="23" fillId="20" borderId="1" xfId="4" applyFont="1" applyFill="1" applyBorder="1" applyAlignment="1" applyProtection="1">
      <alignment horizontal="center" vertical="center" wrapText="1"/>
      <protection hidden="1"/>
    </xf>
    <xf numFmtId="165" fontId="23" fillId="2" borderId="1" xfId="0" applyNumberFormat="1" applyFont="1" applyFill="1" applyBorder="1" applyAlignment="1" applyProtection="1">
      <alignment horizontal="center" vertical="center"/>
      <protection hidden="1"/>
    </xf>
    <xf numFmtId="164" fontId="10" fillId="0" borderId="1" xfId="0" applyNumberFormat="1" applyFont="1" applyBorder="1" applyAlignment="1" applyProtection="1">
      <alignment horizontal="left" vertical="center"/>
      <protection hidden="1"/>
    </xf>
    <xf numFmtId="49" fontId="23" fillId="0" borderId="1" xfId="4" applyFont="1" applyBorder="1" applyProtection="1">
      <alignment horizontal="left" vertical="center"/>
      <protection hidden="1"/>
    </xf>
    <xf numFmtId="0" fontId="23" fillId="3" borderId="1" xfId="0"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25" fillId="0" borderId="1" xfId="3" applyFont="1" applyFill="1" applyBorder="1" applyAlignment="1" applyProtection="1">
      <alignment horizontal="center" vertical="center"/>
      <protection hidden="1"/>
    </xf>
    <xf numFmtId="3" fontId="10" fillId="21" borderId="3" xfId="0" applyNumberFormat="1" applyFont="1" applyFill="1" applyBorder="1" applyAlignment="1" applyProtection="1">
      <alignment horizontal="left" vertical="center" wrapText="1"/>
      <protection hidden="1"/>
    </xf>
    <xf numFmtId="3" fontId="10" fillId="21" borderId="1" xfId="0" applyNumberFormat="1" applyFont="1" applyFill="1" applyBorder="1" applyAlignment="1" applyProtection="1">
      <alignment horizontal="left" vertical="center" wrapText="1"/>
      <protection hidden="1"/>
    </xf>
    <xf numFmtId="166" fontId="19" fillId="10" borderId="1" xfId="0" applyNumberFormat="1" applyFont="1" applyFill="1" applyBorder="1" applyAlignment="1" applyProtection="1">
      <alignment vertical="center"/>
      <protection hidden="1"/>
    </xf>
    <xf numFmtId="166" fontId="19" fillId="0" borderId="1" xfId="0" applyNumberFormat="1" applyFont="1" applyBorder="1" applyAlignment="1" applyProtection="1">
      <alignment vertical="center"/>
      <protection hidden="1"/>
    </xf>
    <xf numFmtId="0" fontId="24" fillId="13" borderId="1" xfId="6" applyFont="1" applyFill="1" applyBorder="1" applyAlignment="1" applyProtection="1">
      <alignment horizontal="center" vertical="center" wrapText="1"/>
      <protection hidden="1"/>
    </xf>
    <xf numFmtId="167" fontId="23" fillId="20" borderId="1" xfId="0" applyNumberFormat="1" applyFont="1" applyFill="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20" borderId="1" xfId="0" applyFont="1" applyFill="1" applyBorder="1" applyAlignment="1" applyProtection="1">
      <alignment horizontal="center" vertical="center"/>
      <protection locked="0"/>
    </xf>
    <xf numFmtId="49" fontId="23" fillId="20" borderId="1" xfId="4" applyFont="1" applyFill="1" applyBorder="1" applyAlignment="1" applyProtection="1">
      <alignment horizontal="center" vertical="center" wrapText="1"/>
    </xf>
    <xf numFmtId="0" fontId="23" fillId="20" borderId="1" xfId="0" applyFont="1" applyFill="1" applyBorder="1" applyAlignment="1">
      <alignment horizontal="center" vertical="center"/>
    </xf>
    <xf numFmtId="164" fontId="10" fillId="0" borderId="1" xfId="0" applyNumberFormat="1" applyFont="1" applyBorder="1" applyAlignment="1">
      <alignment horizontal="left" vertical="center"/>
    </xf>
    <xf numFmtId="49" fontId="23" fillId="0" borderId="1" xfId="4" applyFont="1" applyBorder="1" applyProtection="1">
      <alignment horizontal="left" vertical="center"/>
    </xf>
    <xf numFmtId="0" fontId="23" fillId="3"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5" fillId="0" borderId="1" xfId="3" applyFont="1" applyFill="1" applyBorder="1" applyAlignment="1">
      <alignment horizontal="center" vertical="center"/>
    </xf>
    <xf numFmtId="3" fontId="10" fillId="21" borderId="3" xfId="0" applyNumberFormat="1" applyFont="1" applyFill="1" applyBorder="1" applyAlignment="1" applyProtection="1">
      <alignment horizontal="left" vertical="center" wrapText="1"/>
      <protection locked="0"/>
    </xf>
    <xf numFmtId="3" fontId="10" fillId="21"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165" fontId="10" fillId="12" borderId="1" xfId="1" applyNumberFormat="1" applyFont="1" applyFill="1" applyBorder="1" applyAlignment="1" applyProtection="1">
      <alignment horizontal="center" vertical="center" wrapText="1"/>
      <protection hidden="1"/>
    </xf>
    <xf numFmtId="168" fontId="10" fillId="7" borderId="1" xfId="1" applyNumberFormat="1" applyFont="1" applyFill="1" applyBorder="1" applyAlignment="1" applyProtection="1">
      <alignment horizontal="center" vertical="center" wrapText="1"/>
      <protection hidden="1"/>
    </xf>
    <xf numFmtId="165" fontId="10" fillId="12" borderId="1" xfId="1" applyNumberFormat="1" applyFont="1" applyFill="1" applyBorder="1" applyAlignment="1" applyProtection="1">
      <alignment horizontal="left" vertical="center" wrapText="1"/>
      <protection hidden="1"/>
    </xf>
    <xf numFmtId="165" fontId="10" fillId="3" borderId="1" xfId="1" applyNumberFormat="1" applyFont="1" applyFill="1" applyBorder="1" applyAlignment="1" applyProtection="1">
      <alignment horizontal="center" vertical="center" wrapText="1"/>
      <protection hidden="1"/>
    </xf>
    <xf numFmtId="9" fontId="19" fillId="0" borderId="1" xfId="5" applyFont="1" applyBorder="1" applyAlignment="1" applyProtection="1">
      <alignment vertical="center"/>
      <protection hidden="1"/>
    </xf>
    <xf numFmtId="165" fontId="10" fillId="3" borderId="2" xfId="1"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horizontal="center" vertical="center"/>
      <protection hidden="1"/>
    </xf>
    <xf numFmtId="44" fontId="10" fillId="11" borderId="2" xfId="1" applyFont="1" applyFill="1" applyBorder="1" applyAlignment="1" applyProtection="1">
      <alignment horizontal="center" vertical="center" wrapText="1"/>
      <protection hidden="1"/>
    </xf>
    <xf numFmtId="0" fontId="19" fillId="2" borderId="1" xfId="0" applyFont="1" applyFill="1" applyBorder="1" applyAlignment="1" applyProtection="1">
      <alignment vertical="center"/>
      <protection hidden="1"/>
    </xf>
    <xf numFmtId="14" fontId="19" fillId="0" borderId="1" xfId="0" applyNumberFormat="1" applyFont="1" applyBorder="1" applyAlignment="1" applyProtection="1">
      <alignment vertical="center"/>
      <protection hidden="1"/>
    </xf>
    <xf numFmtId="0" fontId="10" fillId="0" borderId="1" xfId="0" applyFont="1" applyBorder="1" applyAlignment="1" applyProtection="1">
      <alignment horizontal="center" vertical="center" wrapText="1"/>
      <protection locked="0"/>
    </xf>
    <xf numFmtId="0" fontId="19" fillId="0" borderId="2" xfId="0" applyFont="1" applyBorder="1" applyAlignment="1">
      <alignment horizontal="center" vertical="center"/>
    </xf>
    <xf numFmtId="0" fontId="27" fillId="0" borderId="0" xfId="0" applyFont="1" applyProtection="1">
      <protection hidden="1"/>
    </xf>
    <xf numFmtId="0" fontId="27" fillId="0" borderId="0" xfId="0" applyFont="1" applyAlignment="1" applyProtection="1">
      <alignment horizont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165" fontId="10" fillId="7" borderId="1" xfId="1" applyNumberFormat="1" applyFont="1" applyFill="1" applyBorder="1" applyAlignment="1" applyProtection="1">
      <alignment horizontal="center" vertical="center" wrapText="1"/>
      <protection hidden="1"/>
    </xf>
    <xf numFmtId="165" fontId="10" fillId="7" borderId="2"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left" vertical="center" wrapText="1"/>
      <protection hidden="1"/>
    </xf>
    <xf numFmtId="166" fontId="15" fillId="0" borderId="1" xfId="0" applyNumberFormat="1" applyFont="1" applyBorder="1" applyAlignment="1" applyProtection="1">
      <alignment vertical="center"/>
      <protection hidden="1"/>
    </xf>
    <xf numFmtId="166" fontId="15" fillId="10" borderId="1" xfId="0" applyNumberFormat="1" applyFont="1" applyFill="1" applyBorder="1" applyAlignment="1" applyProtection="1">
      <alignment vertical="center"/>
      <protection hidden="1"/>
    </xf>
    <xf numFmtId="14" fontId="15" fillId="0" borderId="1" xfId="0" applyNumberFormat="1" applyFont="1" applyBorder="1" applyAlignment="1" applyProtection="1">
      <alignment vertical="center"/>
      <protection hidden="1"/>
    </xf>
    <xf numFmtId="165" fontId="23" fillId="7" borderId="2" xfId="1" applyNumberFormat="1" applyFont="1" applyFill="1" applyBorder="1" applyAlignment="1" applyProtection="1">
      <alignment horizontal="center" vertical="center" wrapText="1"/>
      <protection hidden="1"/>
    </xf>
    <xf numFmtId="0" fontId="27"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15" fillId="0" borderId="0" xfId="0" applyFont="1" applyAlignment="1">
      <alignment vertical="center"/>
    </xf>
    <xf numFmtId="0" fontId="18"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35" fillId="0" borderId="1" xfId="0" applyFont="1" applyBorder="1" applyAlignment="1">
      <alignment horizontal="right" vertical="center"/>
    </xf>
    <xf numFmtId="164" fontId="15" fillId="0" borderId="1" xfId="0" applyNumberFormat="1" applyFont="1" applyBorder="1" applyAlignment="1">
      <alignment vertical="center"/>
    </xf>
    <xf numFmtId="0" fontId="15" fillId="0" borderId="1" xfId="0" applyFont="1" applyBorder="1" applyAlignment="1">
      <alignment horizontal="center" vertical="center"/>
    </xf>
    <xf numFmtId="164" fontId="11" fillId="10" borderId="1" xfId="0" applyNumberFormat="1" applyFont="1" applyFill="1" applyBorder="1" applyAlignment="1">
      <alignment vertical="center"/>
    </xf>
    <xf numFmtId="0" fontId="11" fillId="10" borderId="1" xfId="0" applyFont="1" applyFill="1" applyBorder="1" applyAlignment="1">
      <alignment horizontal="center" vertical="center"/>
    </xf>
    <xf numFmtId="0" fontId="35" fillId="8" borderId="1" xfId="0" applyFont="1" applyFill="1" applyBorder="1" applyAlignment="1">
      <alignment horizontal="right" vertical="center"/>
    </xf>
    <xf numFmtId="164" fontId="35" fillId="8" borderId="1" xfId="0" applyNumberFormat="1" applyFont="1" applyFill="1" applyBorder="1" applyAlignment="1">
      <alignment vertical="center"/>
    </xf>
    <xf numFmtId="0" fontId="35" fillId="8" borderId="1" xfId="0" applyFont="1" applyFill="1" applyBorder="1" applyAlignment="1">
      <alignment horizontal="center" vertical="center"/>
    </xf>
    <xf numFmtId="164" fontId="34" fillId="8" borderId="1" xfId="0" applyNumberFormat="1" applyFont="1" applyFill="1" applyBorder="1" applyAlignment="1">
      <alignment vertical="center"/>
    </xf>
    <xf numFmtId="0" fontId="36" fillId="0" borderId="1" xfId="0" applyFont="1" applyBorder="1" applyAlignment="1">
      <alignment horizontal="right" vertical="center"/>
    </xf>
    <xf numFmtId="164" fontId="36" fillId="7" borderId="1" xfId="0" applyNumberFormat="1" applyFont="1" applyFill="1" applyBorder="1" applyAlignment="1">
      <alignment vertical="center"/>
    </xf>
    <xf numFmtId="0" fontId="37" fillId="0" borderId="0" xfId="0" applyFont="1"/>
    <xf numFmtId="164" fontId="38" fillId="7" borderId="1" xfId="0" applyNumberFormat="1" applyFont="1" applyFill="1" applyBorder="1" applyAlignment="1">
      <alignment vertical="center"/>
    </xf>
    <xf numFmtId="164" fontId="39" fillId="7" borderId="1" xfId="0" applyNumberFormat="1" applyFont="1" applyFill="1" applyBorder="1" applyAlignment="1">
      <alignment vertical="center"/>
    </xf>
    <xf numFmtId="0" fontId="11" fillId="0" borderId="0" xfId="0" applyFont="1"/>
    <xf numFmtId="0" fontId="35" fillId="0" borderId="0" xfId="0" applyFont="1" applyAlignment="1">
      <alignment horizontal="right" vertical="center"/>
    </xf>
    <xf numFmtId="6" fontId="40" fillId="0" borderId="0" xfId="0" applyNumberFormat="1" applyFont="1" applyAlignment="1">
      <alignment vertical="center"/>
    </xf>
    <xf numFmtId="6" fontId="14" fillId="0" borderId="0" xfId="0" applyNumberFormat="1" applyFont="1" applyAlignment="1">
      <alignment vertical="center"/>
    </xf>
    <xf numFmtId="6" fontId="0" fillId="0" borderId="0" xfId="0" applyNumberFormat="1"/>
    <xf numFmtId="6" fontId="15" fillId="0" borderId="0" xfId="0" applyNumberFormat="1" applyFont="1"/>
    <xf numFmtId="44" fontId="0" fillId="0" borderId="0" xfId="1" applyFont="1"/>
    <xf numFmtId="165" fontId="0" fillId="0" borderId="0" xfId="1" applyNumberFormat="1" applyFont="1"/>
    <xf numFmtId="165" fontId="23" fillId="2" borderId="2" xfId="1" applyNumberFormat="1" applyFont="1" applyFill="1" applyBorder="1" applyAlignment="1" applyProtection="1">
      <alignment horizontal="center" vertical="center" wrapText="1"/>
      <protection hidden="1"/>
    </xf>
    <xf numFmtId="165" fontId="0" fillId="0" borderId="0" xfId="0" applyNumberFormat="1"/>
    <xf numFmtId="164" fontId="13" fillId="5" borderId="0" xfId="0" applyNumberFormat="1" applyFont="1" applyFill="1" applyAlignment="1" applyProtection="1">
      <alignment vertical="center"/>
      <protection hidden="1"/>
    </xf>
    <xf numFmtId="0" fontId="7" fillId="0" borderId="1" xfId="0" applyFont="1" applyBorder="1"/>
    <xf numFmtId="0" fontId="7" fillId="0" borderId="1" xfId="0" applyFont="1" applyBorder="1" applyAlignment="1">
      <alignment vertical="center"/>
    </xf>
    <xf numFmtId="0" fontId="0" fillId="0" borderId="1" xfId="0" applyBorder="1" applyAlignment="1">
      <alignment vertical="center" wrapText="1"/>
    </xf>
    <xf numFmtId="165" fontId="10" fillId="2" borderId="1" xfId="1"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10" fillId="7" borderId="1" xfId="1"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15" fillId="0" borderId="1" xfId="5" applyFont="1" applyBorder="1" applyAlignment="1" applyProtection="1">
      <alignment vertical="center"/>
      <protection hidden="1"/>
    </xf>
    <xf numFmtId="0" fontId="19" fillId="0" borderId="1" xfId="0" applyFont="1" applyBorder="1" applyAlignment="1" applyProtection="1">
      <alignment horizontal="center" vertical="center"/>
      <protection hidden="1"/>
    </xf>
    <xf numFmtId="166" fontId="19" fillId="10" borderId="4" xfId="0" applyNumberFormat="1" applyFont="1" applyFill="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10" fillId="21" borderId="1" xfId="0" applyNumberFormat="1" applyFont="1" applyFill="1" applyBorder="1" applyAlignment="1" applyProtection="1">
      <alignment horizontal="center" vertical="center" wrapText="1"/>
      <protection hidden="1"/>
    </xf>
    <xf numFmtId="9" fontId="19" fillId="0" borderId="1" xfId="5" applyFont="1" applyFill="1" applyBorder="1" applyAlignment="1" applyProtection="1">
      <alignment horizontal="center" vertical="center"/>
      <protection hidden="1"/>
    </xf>
    <xf numFmtId="166" fontId="19" fillId="0" borderId="1" xfId="0" applyNumberFormat="1" applyFont="1" applyBorder="1" applyAlignment="1" applyProtection="1">
      <alignment horizontal="center" vertical="center"/>
      <protection hidden="1"/>
    </xf>
    <xf numFmtId="0" fontId="20" fillId="0" borderId="0" xfId="0" applyFont="1" applyAlignment="1" applyProtection="1">
      <alignment horizontal="center"/>
      <protection hidden="1"/>
    </xf>
    <xf numFmtId="0" fontId="33" fillId="0" borderId="0" xfId="0" applyFont="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165" fontId="10" fillId="0" borderId="1" xfId="1" applyNumberFormat="1" applyFont="1" applyFill="1" applyBorder="1" applyAlignment="1" applyProtection="1">
      <alignment horizontal="center" vertical="center" wrapText="1"/>
      <protection hidden="1"/>
    </xf>
    <xf numFmtId="3" fontId="10" fillId="0" borderId="3" xfId="0" applyNumberFormat="1" applyFont="1" applyBorder="1" applyAlignment="1" applyProtection="1">
      <alignment horizontal="left" vertical="center" wrapText="1"/>
      <protection hidden="1"/>
    </xf>
    <xf numFmtId="3" fontId="10" fillId="0" borderId="1" xfId="0" applyNumberFormat="1" applyFont="1" applyBorder="1" applyAlignment="1" applyProtection="1">
      <alignment horizontal="left" vertical="center" wrapText="1"/>
      <protection hidden="1"/>
    </xf>
    <xf numFmtId="10" fontId="0" fillId="0" borderId="0" xfId="5" applyNumberFormat="1" applyFont="1"/>
    <xf numFmtId="0" fontId="0" fillId="27" borderId="1" xfId="0" applyFill="1" applyBorder="1" applyAlignment="1">
      <alignment vertical="center"/>
    </xf>
    <xf numFmtId="0" fontId="0" fillId="27" borderId="1" xfId="0" applyFill="1" applyBorder="1" applyAlignment="1">
      <alignment horizontal="center" vertical="center"/>
    </xf>
    <xf numFmtId="165" fontId="0" fillId="27" borderId="1" xfId="1" applyNumberFormat="1" applyFont="1" applyFill="1" applyBorder="1" applyAlignment="1">
      <alignment vertical="center"/>
    </xf>
    <xf numFmtId="0" fontId="0" fillId="28" borderId="1" xfId="0" applyFill="1" applyBorder="1" applyAlignment="1">
      <alignment vertical="center"/>
    </xf>
    <xf numFmtId="0" fontId="0" fillId="28" borderId="1" xfId="0" applyFill="1" applyBorder="1" applyAlignment="1">
      <alignment horizontal="center" vertical="center"/>
    </xf>
    <xf numFmtId="165" fontId="0" fillId="28" borderId="1" xfId="1" applyNumberFormat="1" applyFont="1" applyFill="1" applyBorder="1" applyAlignment="1">
      <alignment vertical="center"/>
    </xf>
    <xf numFmtId="0" fontId="30"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32" fillId="0" borderId="0" xfId="0" applyFont="1" applyAlignment="1" applyProtection="1">
      <alignment vertical="center"/>
      <protection hidden="1"/>
    </xf>
    <xf numFmtId="165" fontId="10" fillId="21" borderId="1" xfId="1" applyNumberFormat="1" applyFont="1" applyFill="1" applyBorder="1" applyAlignment="1" applyProtection="1">
      <alignment horizontal="center" vertical="center" wrapText="1"/>
      <protection hidden="1"/>
    </xf>
    <xf numFmtId="0" fontId="42" fillId="21" borderId="1" xfId="6" applyFont="1" applyFill="1" applyBorder="1" applyAlignment="1" applyProtection="1">
      <alignment horizontal="center" vertical="center" wrapText="1"/>
      <protection hidden="1"/>
    </xf>
    <xf numFmtId="164" fontId="43" fillId="5" borderId="1" xfId="0" applyNumberFormat="1" applyFont="1" applyFill="1" applyBorder="1" applyAlignment="1" applyProtection="1">
      <alignment vertical="center"/>
      <protection hidden="1"/>
    </xf>
    <xf numFmtId="164" fontId="10" fillId="0" borderId="0" xfId="0" applyNumberFormat="1" applyFont="1" applyAlignment="1" applyProtection="1">
      <alignment vertical="center" wrapText="1"/>
      <protection hidden="1"/>
    </xf>
    <xf numFmtId="164" fontId="43" fillId="5" borderId="0" xfId="0" applyNumberFormat="1" applyFont="1" applyFill="1" applyAlignment="1" applyProtection="1">
      <alignment vertical="center"/>
      <protection hidden="1"/>
    </xf>
    <xf numFmtId="169" fontId="10" fillId="7" borderId="1" xfId="5" applyNumberFormat="1" applyFont="1" applyFill="1" applyBorder="1" applyAlignment="1" applyProtection="1">
      <alignment horizontal="center" vertical="center" wrapText="1"/>
      <protection hidden="1"/>
    </xf>
    <xf numFmtId="169" fontId="23" fillId="12" borderId="1" xfId="5" applyNumberFormat="1" applyFont="1" applyFill="1" applyBorder="1" applyAlignment="1" applyProtection="1">
      <alignment horizontal="center" vertical="center" wrapText="1"/>
      <protection hidden="1"/>
    </xf>
    <xf numFmtId="6" fontId="27" fillId="0" borderId="0" xfId="0" applyNumberFormat="1" applyFont="1" applyAlignment="1" applyProtection="1">
      <alignment vertical="center"/>
      <protection hidden="1"/>
    </xf>
    <xf numFmtId="166" fontId="19" fillId="21" borderId="1" xfId="0" applyNumberFormat="1" applyFont="1" applyFill="1" applyBorder="1" applyAlignment="1" applyProtection="1">
      <alignment vertical="center"/>
      <protection hidden="1"/>
    </xf>
    <xf numFmtId="165" fontId="44" fillId="12" borderId="1" xfId="1" applyNumberFormat="1" applyFont="1" applyFill="1" applyBorder="1" applyAlignment="1" applyProtection="1">
      <alignment horizontal="center" vertical="center" wrapText="1"/>
      <protection hidden="1"/>
    </xf>
    <xf numFmtId="0" fontId="45" fillId="0" borderId="1" xfId="0" applyFont="1" applyBorder="1" applyAlignment="1">
      <alignment vertical="center" wrapText="1"/>
    </xf>
    <xf numFmtId="0" fontId="40" fillId="0" borderId="1" xfId="0" applyFont="1" applyBorder="1" applyAlignment="1" applyProtection="1">
      <alignment vertical="center" wrapText="1"/>
      <protection hidden="1"/>
    </xf>
    <xf numFmtId="0" fontId="46" fillId="0" borderId="1" xfId="0" applyFont="1" applyBorder="1" applyAlignment="1" applyProtection="1">
      <alignment horizontal="center" vertical="center" wrapText="1"/>
      <protection hidden="1"/>
    </xf>
    <xf numFmtId="0" fontId="40" fillId="2" borderId="1" xfId="0" applyFont="1" applyFill="1" applyBorder="1" applyAlignment="1" applyProtection="1">
      <alignment vertical="center" wrapText="1"/>
      <protection hidden="1"/>
    </xf>
    <xf numFmtId="0" fontId="47" fillId="0" borderId="1" xfId="0" applyFont="1" applyBorder="1" applyAlignment="1" applyProtection="1">
      <alignment horizontal="center" vertical="center" wrapText="1"/>
      <protection hidden="1"/>
    </xf>
    <xf numFmtId="0" fontId="48" fillId="2" borderId="1" xfId="0" applyFont="1" applyFill="1" applyBorder="1" applyAlignment="1" applyProtection="1">
      <alignment vertical="center" wrapText="1"/>
      <protection hidden="1"/>
    </xf>
    <xf numFmtId="0" fontId="0" fillId="0" borderId="0" xfId="0" pivotButton="1"/>
    <xf numFmtId="0" fontId="8" fillId="30" borderId="0" xfId="0" applyFont="1" applyFill="1" applyAlignment="1">
      <alignment vertical="center"/>
    </xf>
    <xf numFmtId="0" fontId="8" fillId="30" borderId="0" xfId="0" applyFont="1" applyFill="1" applyAlignment="1">
      <alignment horizontal="center" vertical="center"/>
    </xf>
    <xf numFmtId="0" fontId="8" fillId="16" borderId="0" xfId="0" applyFont="1" applyFill="1" applyAlignment="1">
      <alignment horizontal="center" vertical="center"/>
    </xf>
    <xf numFmtId="0" fontId="8" fillId="6" borderId="0" xfId="0" applyFont="1" applyFill="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165" fontId="7" fillId="0" borderId="0" xfId="1" applyNumberFormat="1" applyFont="1" applyAlignment="1">
      <alignment vertical="center"/>
    </xf>
    <xf numFmtId="169" fontId="0" fillId="0" borderId="0" xfId="5" applyNumberFormat="1" applyFont="1" applyAlignment="1">
      <alignment vertical="center"/>
    </xf>
    <xf numFmtId="169" fontId="7" fillId="0" borderId="0" xfId="5" applyNumberFormat="1" applyFont="1"/>
    <xf numFmtId="0" fontId="44" fillId="12" borderId="1" xfId="0" applyFont="1" applyFill="1" applyBorder="1" applyAlignment="1" applyProtection="1">
      <alignment horizontal="center" vertical="center" wrapText="1"/>
      <protection hidden="1"/>
    </xf>
    <xf numFmtId="0" fontId="23" fillId="29" borderId="1" xfId="0" applyFont="1" applyFill="1" applyBorder="1" applyAlignment="1" applyProtection="1">
      <alignment horizontal="center" vertical="center" wrapText="1"/>
      <protection hidden="1"/>
    </xf>
    <xf numFmtId="6" fontId="50" fillId="0" borderId="0" xfId="0" applyNumberFormat="1" applyFont="1" applyAlignment="1" applyProtection="1">
      <alignment vertical="center"/>
      <protection hidden="1"/>
    </xf>
    <xf numFmtId="0" fontId="10" fillId="7" borderId="1" xfId="0" applyFont="1" applyFill="1" applyBorder="1" applyAlignment="1" applyProtection="1">
      <alignment horizontal="center" vertical="center"/>
      <protection locked="0"/>
    </xf>
    <xf numFmtId="165" fontId="23" fillId="0" borderId="2" xfId="1" applyNumberFormat="1" applyFont="1" applyFill="1" applyBorder="1" applyAlignment="1" applyProtection="1">
      <alignment horizontal="center" vertical="center" wrapText="1"/>
      <protection hidden="1"/>
    </xf>
    <xf numFmtId="0" fontId="19" fillId="0" borderId="1" xfId="0" applyFont="1" applyBorder="1" applyAlignment="1">
      <alignment vertical="center" wrapText="1"/>
    </xf>
    <xf numFmtId="165" fontId="10" fillId="2" borderId="1" xfId="0" applyNumberFormat="1" applyFont="1" applyFill="1" applyBorder="1" applyAlignment="1" applyProtection="1">
      <alignment horizontal="center" vertical="center"/>
      <protection hidden="1"/>
    </xf>
    <xf numFmtId="0" fontId="19" fillId="0" borderId="1" xfId="0" applyFont="1" applyBorder="1" applyAlignment="1">
      <alignment vertical="center"/>
    </xf>
    <xf numFmtId="0" fontId="23" fillId="7" borderId="1" xfId="0" applyFont="1" applyFill="1" applyBorder="1" applyAlignment="1" applyProtection="1">
      <alignment horizontal="center" vertical="center"/>
      <protection locked="0"/>
    </xf>
    <xf numFmtId="165" fontId="23" fillId="3" borderId="1" xfId="1"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xf>
    <xf numFmtId="0" fontId="15" fillId="0" borderId="1" xfId="0" applyFont="1" applyBorder="1" applyAlignment="1">
      <alignment vertical="center"/>
    </xf>
    <xf numFmtId="0" fontId="15" fillId="0" borderId="2" xfId="0" applyFont="1" applyBorder="1" applyAlignment="1">
      <alignment horizontal="center" vertical="center"/>
    </xf>
    <xf numFmtId="165" fontId="23" fillId="0" borderId="1" xfId="1"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wrapText="1"/>
    </xf>
    <xf numFmtId="0" fontId="44" fillId="2" borderId="1" xfId="0" quotePrefix="1" applyFont="1" applyFill="1" applyBorder="1" applyAlignment="1" applyProtection="1">
      <alignment horizontal="center" vertical="center" wrapText="1"/>
      <protection hidden="1"/>
    </xf>
    <xf numFmtId="0" fontId="44" fillId="12" borderId="1" xfId="0" applyFont="1" applyFill="1" applyBorder="1" applyAlignment="1" applyProtection="1">
      <alignment horizontal="center" vertical="center" wrapText="1"/>
      <protection locked="0"/>
    </xf>
    <xf numFmtId="0" fontId="44" fillId="7" borderId="1" xfId="0" applyFont="1" applyFill="1" applyBorder="1" applyAlignment="1" applyProtection="1">
      <alignment horizontal="center" vertical="center"/>
      <protection locked="0"/>
    </xf>
    <xf numFmtId="165" fontId="44" fillId="7" borderId="1" xfId="1" applyNumberFormat="1" applyFont="1" applyFill="1" applyBorder="1" applyAlignment="1" applyProtection="1">
      <alignment horizontal="center" vertical="center" wrapText="1"/>
      <protection hidden="1"/>
    </xf>
    <xf numFmtId="166" fontId="49" fillId="0" borderId="1" xfId="0" applyNumberFormat="1" applyFont="1" applyBorder="1" applyAlignment="1" applyProtection="1">
      <alignment vertical="center"/>
      <protection hidden="1"/>
    </xf>
    <xf numFmtId="166" fontId="49" fillId="10" borderId="1" xfId="0" applyNumberFormat="1" applyFont="1" applyFill="1" applyBorder="1" applyAlignment="1" applyProtection="1">
      <alignment vertical="center"/>
      <protection hidden="1"/>
    </xf>
    <xf numFmtId="165" fontId="44" fillId="3" borderId="1" xfId="1" applyNumberFormat="1" applyFont="1" applyFill="1" applyBorder="1" applyAlignment="1" applyProtection="1">
      <alignment horizontal="center" vertical="center" wrapText="1"/>
      <protection hidden="1"/>
    </xf>
    <xf numFmtId="14" fontId="49" fillId="0" borderId="1" xfId="0" applyNumberFormat="1" applyFont="1" applyBorder="1" applyAlignment="1" applyProtection="1">
      <alignment vertical="center"/>
      <protection hidden="1"/>
    </xf>
    <xf numFmtId="165" fontId="42" fillId="7" borderId="1" xfId="1" applyNumberFormat="1" applyFont="1" applyFill="1" applyBorder="1" applyAlignment="1" applyProtection="1">
      <alignment horizontal="center" vertical="center" wrapText="1"/>
      <protection hidden="1"/>
    </xf>
    <xf numFmtId="0" fontId="23" fillId="2" borderId="1" xfId="0" quotePrefix="1" applyFont="1" applyFill="1" applyBorder="1" applyAlignment="1" applyProtection="1">
      <alignment horizontal="center" vertical="center" wrapText="1"/>
      <protection hidden="1"/>
    </xf>
    <xf numFmtId="165" fontId="23" fillId="7" borderId="1" xfId="1" applyNumberFormat="1" applyFont="1" applyFill="1" applyBorder="1" applyAlignment="1" applyProtection="1">
      <alignment horizontal="center" vertical="center" wrapText="1"/>
      <protection hidden="1"/>
    </xf>
    <xf numFmtId="0" fontId="24" fillId="31" borderId="1" xfId="6" applyFont="1" applyFill="1" applyBorder="1" applyAlignment="1" applyProtection="1">
      <alignment horizontal="center" vertical="center" wrapText="1"/>
    </xf>
    <xf numFmtId="0" fontId="24" fillId="31" borderId="2" xfId="6" applyFont="1" applyFill="1" applyBorder="1" applyAlignment="1" applyProtection="1">
      <alignment horizontal="center" vertical="center" wrapText="1"/>
    </xf>
    <xf numFmtId="0" fontId="24" fillId="16" borderId="1" xfId="6"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6" fontId="10" fillId="2" borderId="2" xfId="1" applyNumberFormat="1" applyFont="1" applyFill="1" applyBorder="1" applyAlignment="1" applyProtection="1">
      <alignment horizontal="right" vertical="center" wrapText="1"/>
    </xf>
    <xf numFmtId="49" fontId="10" fillId="2" borderId="1" xfId="0" quotePrefix="1" applyNumberFormat="1"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0" borderId="1" xfId="0" applyFont="1" applyBorder="1" applyAlignment="1">
      <alignment horizontal="left" vertical="center" wrapText="1"/>
    </xf>
    <xf numFmtId="6" fontId="44" fillId="2" borderId="2" xfId="1" applyNumberFormat="1" applyFont="1" applyFill="1" applyBorder="1" applyAlignment="1" applyProtection="1">
      <alignment horizontal="right" vertical="center" wrapText="1"/>
    </xf>
    <xf numFmtId="6" fontId="44" fillId="0" borderId="2" xfId="1" applyNumberFormat="1" applyFont="1" applyFill="1" applyBorder="1" applyAlignment="1" applyProtection="1">
      <alignment horizontal="right" vertical="center" wrapText="1"/>
    </xf>
    <xf numFmtId="0" fontId="46" fillId="21" borderId="2" xfId="0" quotePrefix="1" applyFont="1" applyFill="1" applyBorder="1" applyAlignment="1">
      <alignment horizontal="center" vertical="center" wrapText="1"/>
    </xf>
    <xf numFmtId="0" fontId="46" fillId="11" borderId="2" xfId="0" quotePrefix="1" applyFont="1" applyFill="1" applyBorder="1" applyAlignment="1">
      <alignment horizontal="center" vertical="center" wrapText="1"/>
    </xf>
    <xf numFmtId="0" fontId="46" fillId="32" borderId="2" xfId="0" quotePrefix="1" applyFont="1" applyFill="1" applyBorder="1" applyAlignment="1">
      <alignment horizontal="center" vertical="center" wrapText="1"/>
    </xf>
    <xf numFmtId="165" fontId="0" fillId="21" borderId="0" xfId="1" applyNumberFormat="1" applyFont="1" applyFill="1" applyAlignment="1">
      <alignment vertical="center"/>
    </xf>
    <xf numFmtId="165" fontId="44" fillId="21" borderId="1" xfId="1" applyNumberFormat="1" applyFont="1" applyFill="1" applyBorder="1" applyAlignment="1" applyProtection="1">
      <alignment horizontal="center" vertical="center" wrapText="1"/>
      <protection hidden="1"/>
    </xf>
    <xf numFmtId="168" fontId="23" fillId="3" borderId="1" xfId="0" applyNumberFormat="1" applyFont="1" applyFill="1" applyBorder="1" applyAlignment="1" applyProtection="1">
      <alignment horizontal="center" vertical="center"/>
      <protection hidden="1"/>
    </xf>
    <xf numFmtId="9" fontId="27" fillId="0" borderId="0" xfId="5" applyFont="1" applyAlignment="1" applyProtection="1">
      <alignment vertical="center"/>
      <protection hidden="1"/>
    </xf>
    <xf numFmtId="9" fontId="0" fillId="0" borderId="0" xfId="5" applyFont="1" applyAlignment="1">
      <alignment vertical="center"/>
    </xf>
    <xf numFmtId="0" fontId="24" fillId="34" borderId="1" xfId="6" applyFont="1" applyFill="1" applyBorder="1" applyAlignment="1" applyProtection="1">
      <alignment horizontal="center" vertical="center" wrapText="1"/>
      <protection hidden="1"/>
    </xf>
    <xf numFmtId="166" fontId="19" fillId="10" borderId="1" xfId="0" applyNumberFormat="1" applyFont="1" applyFill="1" applyBorder="1" applyAlignment="1" applyProtection="1">
      <alignment horizontal="right" vertical="center"/>
      <protection hidden="1"/>
    </xf>
    <xf numFmtId="166" fontId="19" fillId="21" borderId="1" xfId="0" applyNumberFormat="1" applyFont="1" applyFill="1" applyBorder="1" applyAlignment="1" applyProtection="1">
      <alignment horizontal="right" vertical="center"/>
      <protection hidden="1"/>
    </xf>
    <xf numFmtId="166" fontId="19" fillId="0" borderId="1" xfId="0" applyNumberFormat="1" applyFont="1" applyBorder="1" applyAlignment="1" applyProtection="1">
      <alignment horizontal="right" vertical="center"/>
      <protection hidden="1"/>
    </xf>
    <xf numFmtId="166" fontId="19" fillId="10" borderId="4" xfId="0" applyNumberFormat="1" applyFont="1" applyFill="1" applyBorder="1" applyAlignment="1" applyProtection="1">
      <alignment horizontal="right" vertical="center"/>
      <protection hidden="1"/>
    </xf>
    <xf numFmtId="0" fontId="23" fillId="33" borderId="1" xfId="0" applyFont="1" applyFill="1" applyBorder="1" applyAlignment="1" applyProtection="1">
      <alignment vertical="center"/>
      <protection hidden="1"/>
    </xf>
    <xf numFmtId="0" fontId="23" fillId="33" borderId="1" xfId="0" applyFont="1" applyFill="1" applyBorder="1" applyAlignment="1" applyProtection="1">
      <alignment vertical="center"/>
      <protection locked="0"/>
    </xf>
    <xf numFmtId="165" fontId="44" fillId="21" borderId="1" xfId="1" applyNumberFormat="1" applyFont="1" applyFill="1" applyBorder="1" applyAlignment="1" applyProtection="1">
      <alignment horizontal="center" vertical="center"/>
      <protection hidden="1"/>
    </xf>
    <xf numFmtId="165" fontId="10" fillId="21" borderId="1" xfId="1" applyNumberFormat="1" applyFont="1" applyFill="1" applyBorder="1" applyAlignment="1" applyProtection="1">
      <alignment horizontal="center" vertical="center"/>
      <protection hidden="1"/>
    </xf>
    <xf numFmtId="0" fontId="15" fillId="33" borderId="1" xfId="0" applyFont="1" applyFill="1" applyBorder="1" applyAlignment="1">
      <alignment vertical="center"/>
    </xf>
    <xf numFmtId="0" fontId="15" fillId="0" borderId="1" xfId="0" applyFont="1" applyBorder="1" applyAlignment="1">
      <alignment horizontal="left" vertical="center"/>
    </xf>
    <xf numFmtId="0" fontId="20" fillId="2" borderId="0" xfId="0" applyFont="1" applyFill="1" applyAlignment="1" applyProtection="1">
      <alignment vertical="center"/>
      <protection hidden="1"/>
    </xf>
    <xf numFmtId="0" fontId="20" fillId="2" borderId="0" xfId="0" applyFont="1" applyFill="1" applyProtection="1">
      <protection hidden="1"/>
    </xf>
    <xf numFmtId="0" fontId="12" fillId="0" borderId="1" xfId="0" applyFont="1" applyBorder="1" applyAlignment="1" applyProtection="1">
      <alignment vertical="center" wrapText="1"/>
      <protection hidden="1"/>
    </xf>
    <xf numFmtId="166" fontId="12" fillId="0" borderId="1" xfId="0" applyNumberFormat="1" applyFont="1" applyBorder="1" applyAlignment="1" applyProtection="1">
      <alignment vertical="center"/>
      <protection hidden="1"/>
    </xf>
    <xf numFmtId="165" fontId="20" fillId="12" borderId="1" xfId="1" applyNumberFormat="1" applyFont="1" applyFill="1" applyBorder="1" applyAlignment="1" applyProtection="1">
      <alignment horizontal="center" vertical="center" wrapText="1"/>
      <protection hidden="1"/>
    </xf>
    <xf numFmtId="0" fontId="20" fillId="20"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20" borderId="1" xfId="0" applyFont="1" applyFill="1" applyBorder="1" applyAlignment="1">
      <alignment horizontal="center" vertical="center"/>
    </xf>
    <xf numFmtId="0" fontId="23" fillId="0" borderId="0" xfId="0" applyFont="1" applyProtection="1">
      <protection hidden="1"/>
    </xf>
    <xf numFmtId="165" fontId="20" fillId="0" borderId="1" xfId="0" applyNumberFormat="1" applyFont="1" applyBorder="1" applyAlignment="1" applyProtection="1">
      <alignment horizontal="center" vertical="center"/>
      <protection hidden="1"/>
    </xf>
    <xf numFmtId="0" fontId="20" fillId="0" borderId="1" xfId="0" quotePrefix="1" applyFont="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left" vertical="center" wrapText="1"/>
      <protection hidden="1"/>
    </xf>
    <xf numFmtId="167" fontId="20" fillId="4" borderId="1" xfId="0" applyNumberFormat="1" applyFont="1" applyFill="1" applyBorder="1" applyAlignment="1" applyProtection="1">
      <alignment horizontal="center" vertical="center"/>
      <protection hidden="1"/>
    </xf>
    <xf numFmtId="168" fontId="20" fillId="4" borderId="1" xfId="0" applyNumberFormat="1" applyFont="1" applyFill="1" applyBorder="1" applyAlignment="1" applyProtection="1">
      <alignment horizontal="center" vertical="center"/>
      <protection hidden="1"/>
    </xf>
    <xf numFmtId="0" fontId="20" fillId="4" borderId="1" xfId="0" applyFont="1" applyFill="1" applyBorder="1" applyAlignment="1" applyProtection="1">
      <alignment horizontal="center" vertical="center"/>
      <protection hidden="1"/>
    </xf>
    <xf numFmtId="49" fontId="20" fillId="4" borderId="1" xfId="4" applyFont="1" applyFill="1" applyBorder="1" applyAlignment="1" applyProtection="1">
      <alignment horizontal="center" vertical="center" wrapText="1"/>
      <protection hidden="1"/>
    </xf>
    <xf numFmtId="165" fontId="20" fillId="4" borderId="1" xfId="0" applyNumberFormat="1" applyFont="1" applyFill="1" applyBorder="1" applyAlignment="1" applyProtection="1">
      <alignment horizontal="center" vertical="center"/>
      <protection hidden="1"/>
    </xf>
    <xf numFmtId="49" fontId="20" fillId="4" borderId="1" xfId="4" applyFont="1" applyFill="1" applyBorder="1" applyProtection="1">
      <alignment horizontal="left" vertical="center"/>
      <protection hidden="1"/>
    </xf>
    <xf numFmtId="0" fontId="20" fillId="4" borderId="0" xfId="0" applyFont="1" applyFill="1" applyAlignment="1" applyProtection="1">
      <alignment horizontal="center"/>
      <protection hidden="1"/>
    </xf>
    <xf numFmtId="0" fontId="20" fillId="4" borderId="1" xfId="0" quotePrefix="1" applyFont="1" applyFill="1" applyBorder="1" applyAlignment="1" applyProtection="1">
      <alignment horizontal="center" vertical="center" wrapText="1"/>
      <protection hidden="1"/>
    </xf>
    <xf numFmtId="165" fontId="23" fillId="2" borderId="1" xfId="1" applyNumberFormat="1" applyFont="1" applyFill="1" applyBorder="1" applyAlignment="1" applyProtection="1">
      <alignment horizontal="center" vertical="center" wrapText="1"/>
      <protection hidden="1"/>
    </xf>
    <xf numFmtId="165" fontId="20" fillId="12" borderId="1" xfId="8" applyNumberFormat="1"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165" fontId="20" fillId="12" borderId="1" xfId="9" applyNumberFormat="1" applyFont="1" applyFill="1" applyBorder="1" applyAlignment="1" applyProtection="1">
      <alignment horizontal="center" vertical="center" wrapText="1"/>
      <protection hidden="1"/>
    </xf>
    <xf numFmtId="165" fontId="20" fillId="12" borderId="1" xfId="10" applyNumberFormat="1" applyFont="1" applyFill="1" applyBorder="1" applyAlignment="1" applyProtection="1">
      <alignment horizontal="center" vertical="center" wrapText="1"/>
      <protection hidden="1"/>
    </xf>
    <xf numFmtId="165" fontId="23" fillId="3" borderId="2" xfId="1" applyNumberFormat="1" applyFont="1" applyFill="1" applyBorder="1" applyAlignment="1" applyProtection="1">
      <alignment horizontal="center" vertical="center" wrapText="1"/>
      <protection hidden="1"/>
    </xf>
    <xf numFmtId="0" fontId="52" fillId="0" borderId="0" xfId="0" applyFont="1" applyProtection="1">
      <protection hidden="1"/>
    </xf>
    <xf numFmtId="0" fontId="20" fillId="0" borderId="10" xfId="0" applyFont="1" applyBorder="1" applyProtection="1">
      <protection hidden="1"/>
    </xf>
    <xf numFmtId="0" fontId="53" fillId="0" borderId="0" xfId="0" applyFont="1" applyProtection="1">
      <protection hidden="1"/>
    </xf>
    <xf numFmtId="14" fontId="53" fillId="0" borderId="0" xfId="0" applyNumberFormat="1" applyFont="1" applyProtection="1">
      <protection hidden="1"/>
    </xf>
    <xf numFmtId="0" fontId="54" fillId="0" borderId="0" xfId="0" applyFont="1" applyProtection="1">
      <protection hidden="1"/>
    </xf>
    <xf numFmtId="165" fontId="20" fillId="12" borderId="1" xfId="11" applyNumberFormat="1" applyFont="1" applyFill="1" applyBorder="1" applyAlignment="1" applyProtection="1">
      <alignment horizontal="center" vertical="center" wrapText="1"/>
      <protection hidden="1"/>
    </xf>
    <xf numFmtId="169" fontId="20" fillId="4" borderId="1" xfId="5" applyNumberFormat="1" applyFont="1" applyFill="1" applyBorder="1" applyAlignment="1" applyProtection="1">
      <alignment horizontal="center" vertical="center" wrapText="1"/>
      <protection hidden="1"/>
    </xf>
    <xf numFmtId="0" fontId="20" fillId="4" borderId="0" xfId="0" applyFont="1" applyFill="1" applyProtection="1">
      <protection hidden="1"/>
    </xf>
    <xf numFmtId="165" fontId="20" fillId="4" borderId="1" xfId="1" applyNumberFormat="1" applyFont="1" applyFill="1" applyBorder="1" applyAlignment="1" applyProtection="1">
      <alignment horizontal="center" vertical="center" wrapText="1"/>
      <protection hidden="1"/>
    </xf>
    <xf numFmtId="166" fontId="12" fillId="4" borderId="1" xfId="0" applyNumberFormat="1" applyFont="1" applyFill="1" applyBorder="1" applyAlignment="1" applyProtection="1">
      <alignment vertical="center"/>
      <protection hidden="1"/>
    </xf>
    <xf numFmtId="166" fontId="12" fillId="4" borderId="1" xfId="0" applyNumberFormat="1" applyFont="1" applyFill="1" applyBorder="1" applyAlignment="1" applyProtection="1">
      <alignment horizontal="right" vertical="center"/>
      <protection hidden="1"/>
    </xf>
    <xf numFmtId="168" fontId="20" fillId="4" borderId="1" xfId="1" applyNumberFormat="1" applyFont="1" applyFill="1" applyBorder="1" applyAlignment="1" applyProtection="1">
      <alignment horizontal="center" vertical="center" wrapText="1"/>
      <protection hidden="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65" fontId="20" fillId="4" borderId="2" xfId="1"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protection hidden="1"/>
    </xf>
    <xf numFmtId="0" fontId="12" fillId="4" borderId="2" xfId="0" applyFont="1" applyFill="1" applyBorder="1" applyAlignment="1" applyProtection="1">
      <alignment horizontal="center" vertical="center"/>
      <protection hidden="1"/>
    </xf>
    <xf numFmtId="44" fontId="20" fillId="4" borderId="2" xfId="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left" vertical="center"/>
      <protection hidden="1"/>
    </xf>
    <xf numFmtId="0" fontId="55" fillId="4" borderId="1" xfId="3" applyFont="1" applyFill="1" applyBorder="1" applyAlignment="1" applyProtection="1">
      <alignment horizontal="center" vertical="center"/>
      <protection hidden="1"/>
    </xf>
    <xf numFmtId="3" fontId="20" fillId="4" borderId="3" xfId="0" applyNumberFormat="1" applyFont="1" applyFill="1" applyBorder="1" applyAlignment="1" applyProtection="1">
      <alignment horizontal="left" vertical="center" wrapText="1"/>
      <protection hidden="1"/>
    </xf>
    <xf numFmtId="3" fontId="20" fillId="4" borderId="1" xfId="0" applyNumberFormat="1" applyFont="1" applyFill="1" applyBorder="1" applyAlignment="1" applyProtection="1">
      <alignment horizontal="left" vertical="center" wrapText="1"/>
      <protection hidden="1"/>
    </xf>
    <xf numFmtId="165" fontId="20" fillId="12" borderId="1" xfId="12" applyNumberFormat="1" applyFont="1" applyFill="1" applyBorder="1" applyAlignment="1" applyProtection="1">
      <alignment horizontal="center" vertical="center" wrapText="1"/>
      <protection hidden="1"/>
    </xf>
    <xf numFmtId="0" fontId="20" fillId="2" borderId="1" xfId="0" quotePrefix="1" applyFont="1" applyFill="1" applyBorder="1" applyAlignment="1" applyProtection="1">
      <alignment horizontal="center" vertical="center" wrapText="1"/>
      <protection hidden="1"/>
    </xf>
    <xf numFmtId="0" fontId="20" fillId="12" borderId="1" xfId="0" applyFont="1" applyFill="1" applyBorder="1" applyAlignment="1" applyProtection="1">
      <alignment horizontal="center" vertical="center" wrapText="1"/>
      <protection hidden="1"/>
    </xf>
    <xf numFmtId="169" fontId="20" fillId="12" borderId="1" xfId="5" applyNumberFormat="1" applyFont="1" applyFill="1" applyBorder="1" applyAlignment="1" applyProtection="1">
      <alignment horizontal="center" vertical="center" wrapText="1"/>
      <protection hidden="1"/>
    </xf>
    <xf numFmtId="167" fontId="20" fillId="20" borderId="1" xfId="0" applyNumberFormat="1" applyFont="1" applyFill="1" applyBorder="1" applyAlignment="1" applyProtection="1">
      <alignment horizontal="center" vertical="center"/>
      <protection hidden="1"/>
    </xf>
    <xf numFmtId="168" fontId="20" fillId="3" borderId="1" xfId="0" applyNumberFormat="1" applyFont="1" applyFill="1" applyBorder="1" applyAlignment="1" applyProtection="1">
      <alignment horizontal="center" vertical="center"/>
      <protection hidden="1"/>
    </xf>
    <xf numFmtId="0" fontId="20" fillId="20" borderId="1" xfId="0" applyFont="1" applyFill="1" applyBorder="1" applyAlignment="1" applyProtection="1">
      <alignment horizontal="center" vertical="center"/>
      <protection hidden="1"/>
    </xf>
    <xf numFmtId="49" fontId="20" fillId="20" borderId="1" xfId="4" applyFont="1" applyFill="1" applyBorder="1" applyAlignment="1" applyProtection="1">
      <alignment horizontal="center" vertical="center" wrapText="1"/>
      <protection hidden="1"/>
    </xf>
    <xf numFmtId="165" fontId="20" fillId="2" borderId="1" xfId="0" applyNumberFormat="1" applyFont="1" applyFill="1" applyBorder="1" applyAlignment="1" applyProtection="1">
      <alignment horizontal="center" vertical="center"/>
      <protection hidden="1"/>
    </xf>
    <xf numFmtId="49" fontId="20" fillId="0" borderId="1" xfId="4" applyFont="1" applyBorder="1" applyProtection="1">
      <alignment horizontal="left" vertical="center"/>
      <protection hidden="1"/>
    </xf>
    <xf numFmtId="0" fontId="20" fillId="3"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165" fontId="20" fillId="12" borderId="1" xfId="15"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left" vertical="center" wrapText="1"/>
      <protection hidden="1"/>
    </xf>
    <xf numFmtId="165" fontId="20" fillId="21" borderId="1" xfId="1" applyNumberFormat="1" applyFont="1" applyFill="1" applyBorder="1" applyAlignment="1" applyProtection="1">
      <alignment horizontal="center" vertical="center" wrapText="1"/>
      <protection hidden="1"/>
    </xf>
    <xf numFmtId="165" fontId="20" fillId="3" borderId="1" xfId="1" applyNumberFormat="1" applyFont="1" applyFill="1" applyBorder="1" applyAlignment="1" applyProtection="1">
      <alignment horizontal="center" vertical="center" wrapText="1"/>
      <protection hidden="1"/>
    </xf>
    <xf numFmtId="165" fontId="20" fillId="2" borderId="1" xfId="1" applyNumberFormat="1" applyFont="1" applyFill="1" applyBorder="1" applyAlignment="1" applyProtection="1">
      <alignment horizontal="center" vertical="center" wrapText="1"/>
      <protection hidden="1"/>
    </xf>
    <xf numFmtId="165" fontId="20" fillId="12" borderId="1" xfId="7" applyNumberFormat="1" applyFont="1" applyFill="1" applyBorder="1" applyAlignment="1" applyProtection="1">
      <alignment horizontal="center" vertical="center" wrapText="1"/>
      <protection hidden="1"/>
    </xf>
    <xf numFmtId="0" fontId="20" fillId="11" borderId="1" xfId="0" quotePrefix="1" applyFont="1" applyFill="1" applyBorder="1" applyAlignment="1" applyProtection="1">
      <alignment horizontal="center" vertical="center" wrapText="1"/>
      <protection hidden="1"/>
    </xf>
    <xf numFmtId="166" fontId="12" fillId="10" borderId="1" xfId="0" applyNumberFormat="1" applyFont="1" applyFill="1" applyBorder="1" applyAlignment="1" applyProtection="1">
      <alignment horizontal="right" vertical="center"/>
      <protection hidden="1"/>
    </xf>
    <xf numFmtId="166" fontId="12" fillId="0" borderId="1" xfId="0" applyNumberFormat="1" applyFont="1" applyBorder="1" applyAlignment="1" applyProtection="1">
      <alignment horizontal="center" vertical="center"/>
      <protection hidden="1"/>
    </xf>
    <xf numFmtId="168" fontId="20" fillId="7" borderId="1" xfId="1" applyNumberFormat="1" applyFont="1" applyFill="1" applyBorder="1" applyAlignment="1" applyProtection="1">
      <alignment horizontal="center" vertical="center" wrapText="1"/>
      <protection hidden="1"/>
    </xf>
    <xf numFmtId="0" fontId="52" fillId="0" borderId="0" xfId="0" applyFont="1" applyAlignment="1" applyProtection="1">
      <alignment vertical="center" wrapText="1"/>
      <protection hidden="1"/>
    </xf>
    <xf numFmtId="0" fontId="52" fillId="2" borderId="0" xfId="0" applyFont="1" applyFill="1" applyAlignment="1" applyProtection="1">
      <alignment vertical="center" wrapText="1"/>
      <protection hidden="1"/>
    </xf>
    <xf numFmtId="0" fontId="52" fillId="0" borderId="0" xfId="0" applyFont="1" applyAlignment="1" applyProtection="1">
      <alignment horizontal="center" vertical="center" wrapText="1"/>
      <protection hidden="1"/>
    </xf>
    <xf numFmtId="0" fontId="52" fillId="2" borderId="0" xfId="0" applyFont="1" applyFill="1" applyAlignment="1" applyProtection="1">
      <alignment horizontal="center" vertical="center" wrapText="1"/>
      <protection hidden="1"/>
    </xf>
    <xf numFmtId="6" fontId="20" fillId="2" borderId="0" xfId="0" applyNumberFormat="1" applyFont="1" applyFill="1" applyAlignment="1" applyProtection="1">
      <alignment vertical="center"/>
      <protection hidden="1"/>
    </xf>
    <xf numFmtId="9" fontId="20" fillId="2" borderId="0" xfId="5" applyFont="1" applyFill="1" applyBorder="1" applyAlignment="1" applyProtection="1">
      <alignment vertical="center"/>
      <protection hidden="1"/>
    </xf>
    <xf numFmtId="164" fontId="12" fillId="2" borderId="0" xfId="0" applyNumberFormat="1" applyFont="1" applyFill="1" applyAlignment="1" applyProtection="1">
      <alignment vertical="center"/>
      <protection hidden="1"/>
    </xf>
    <xf numFmtId="164" fontId="20" fillId="2" borderId="0" xfId="0" applyNumberFormat="1" applyFont="1" applyFill="1" applyAlignment="1" applyProtection="1">
      <alignment vertical="center" wrapText="1"/>
      <protection hidden="1"/>
    </xf>
    <xf numFmtId="6" fontId="52" fillId="2" borderId="0" xfId="0" applyNumberFormat="1" applyFont="1" applyFill="1" applyAlignment="1" applyProtection="1">
      <alignment vertical="center"/>
      <protection hidden="1"/>
    </xf>
    <xf numFmtId="164" fontId="18" fillId="2" borderId="0" xfId="0" applyNumberFormat="1" applyFont="1" applyFill="1" applyAlignment="1" applyProtection="1">
      <alignment vertical="center"/>
      <protection hidden="1"/>
    </xf>
    <xf numFmtId="0" fontId="20" fillId="2" borderId="0" xfId="0" applyFont="1" applyFill="1" applyAlignment="1" applyProtection="1">
      <alignment horizontal="center" vertical="center"/>
      <protection hidden="1"/>
    </xf>
    <xf numFmtId="0" fontId="52" fillId="2" borderId="0" xfId="6" applyFont="1" applyFill="1" applyBorder="1" applyAlignment="1" applyProtection="1">
      <alignment horizontal="center" vertical="center" wrapText="1"/>
      <protection hidden="1"/>
    </xf>
    <xf numFmtId="0" fontId="52" fillId="2" borderId="0" xfId="6" applyFont="1" applyFill="1" applyBorder="1" applyAlignment="1" applyProtection="1">
      <alignment horizontal="left" vertical="center" wrapText="1"/>
      <protection hidden="1"/>
    </xf>
    <xf numFmtId="0" fontId="52" fillId="2" borderId="0" xfId="0" applyFont="1" applyFill="1" applyAlignment="1" applyProtection="1">
      <alignment horizontal="center" vertical="center"/>
      <protection hidden="1"/>
    </xf>
    <xf numFmtId="0" fontId="52" fillId="0" borderId="10" xfId="0" applyFont="1" applyBorder="1" applyAlignment="1" applyProtection="1">
      <alignment horizontal="center" vertical="center"/>
      <protection hidden="1"/>
    </xf>
    <xf numFmtId="6" fontId="52" fillId="0" borderId="0" xfId="0" applyNumberFormat="1" applyFont="1" applyAlignment="1" applyProtection="1">
      <alignment vertical="center"/>
      <protection hidden="1"/>
    </xf>
    <xf numFmtId="164" fontId="18" fillId="5" borderId="5" xfId="0" applyNumberFormat="1" applyFont="1" applyFill="1" applyBorder="1" applyAlignment="1" applyProtection="1">
      <alignment vertical="center"/>
      <protection hidden="1"/>
    </xf>
    <xf numFmtId="164" fontId="18" fillId="2" borderId="5" xfId="0" applyNumberFormat="1" applyFont="1" applyFill="1" applyBorder="1" applyAlignment="1" applyProtection="1">
      <alignment vertical="center"/>
      <protection hidden="1"/>
    </xf>
    <xf numFmtId="0" fontId="20" fillId="0" borderId="0" xfId="0" applyFont="1" applyAlignment="1" applyProtection="1">
      <alignment horizontal="center" vertical="center"/>
      <protection hidden="1"/>
    </xf>
    <xf numFmtId="0" fontId="52" fillId="16" borderId="11" xfId="6" applyFont="1" applyFill="1" applyBorder="1" applyAlignment="1" applyProtection="1">
      <alignment vertical="center" wrapText="1"/>
      <protection hidden="1"/>
    </xf>
    <xf numFmtId="0" fontId="52" fillId="16" borderId="10" xfId="6" applyFont="1" applyFill="1" applyBorder="1" applyAlignment="1" applyProtection="1">
      <alignment vertical="center" wrapText="1"/>
      <protection hidden="1"/>
    </xf>
    <xf numFmtId="0" fontId="52" fillId="16" borderId="12" xfId="6" applyFont="1" applyFill="1" applyBorder="1" applyAlignment="1" applyProtection="1">
      <alignment vertical="center" wrapText="1"/>
      <protection hidden="1"/>
    </xf>
    <xf numFmtId="0" fontId="52" fillId="6" borderId="0" xfId="0" applyFont="1" applyFill="1" applyAlignment="1" applyProtection="1">
      <alignment horizontal="center" vertical="center"/>
      <protection hidden="1"/>
    </xf>
    <xf numFmtId="0" fontId="56" fillId="9" borderId="1" xfId="6" applyFont="1" applyFill="1" applyBorder="1" applyAlignment="1" applyProtection="1">
      <alignment horizontal="center" vertical="center" wrapText="1"/>
      <protection hidden="1"/>
    </xf>
    <xf numFmtId="0" fontId="56" fillId="2" borderId="1" xfId="6" applyFont="1" applyFill="1" applyBorder="1" applyAlignment="1" applyProtection="1">
      <alignment horizontal="center" vertical="center" wrapText="1"/>
      <protection hidden="1"/>
    </xf>
    <xf numFmtId="0" fontId="56" fillId="21" borderId="1" xfId="6" applyFont="1" applyFill="1" applyBorder="1" applyAlignment="1" applyProtection="1">
      <alignment horizontal="center" vertical="center" wrapText="1"/>
      <protection hidden="1"/>
    </xf>
    <xf numFmtId="0" fontId="56" fillId="13" borderId="1" xfId="6" applyFont="1" applyFill="1" applyBorder="1" applyAlignment="1" applyProtection="1">
      <alignment horizontal="center" vertical="center" wrapText="1"/>
      <protection hidden="1"/>
    </xf>
    <xf numFmtId="0" fontId="56" fillId="16" borderId="1" xfId="6" applyFont="1" applyFill="1" applyBorder="1" applyAlignment="1" applyProtection="1">
      <alignment horizontal="center" vertical="center" wrapText="1"/>
      <protection hidden="1"/>
    </xf>
    <xf numFmtId="1" fontId="56" fillId="2" borderId="1" xfId="6" applyNumberFormat="1" applyFont="1" applyFill="1" applyBorder="1" applyAlignment="1" applyProtection="1">
      <alignment horizontal="center" vertical="center" wrapText="1"/>
      <protection hidden="1"/>
    </xf>
    <xf numFmtId="0" fontId="23" fillId="2" borderId="1" xfId="6" applyFont="1" applyFill="1" applyBorder="1" applyAlignment="1" applyProtection="1">
      <alignment horizontal="center" vertical="center" wrapText="1"/>
      <protection hidden="1"/>
    </xf>
    <xf numFmtId="3" fontId="56"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20" fillId="7" borderId="1" xfId="1" applyNumberFormat="1" applyFont="1" applyFill="1" applyBorder="1" applyAlignment="1" applyProtection="1">
      <alignment horizontal="center" vertical="center" wrapText="1"/>
      <protection hidden="1"/>
    </xf>
    <xf numFmtId="169" fontId="20" fillId="2" borderId="1" xfId="5" applyNumberFormat="1" applyFont="1" applyFill="1" applyBorder="1" applyAlignment="1" applyProtection="1">
      <alignment horizontal="center" vertical="center" wrapText="1"/>
      <protection hidden="1"/>
    </xf>
    <xf numFmtId="0" fontId="18" fillId="2" borderId="1" xfId="0" applyFont="1" applyFill="1" applyBorder="1"/>
    <xf numFmtId="165" fontId="20" fillId="2" borderId="1" xfId="1" applyNumberFormat="1" applyFont="1" applyFill="1" applyBorder="1" applyAlignment="1" applyProtection="1">
      <alignment horizontal="left" vertical="center" wrapText="1"/>
      <protection hidden="1"/>
    </xf>
    <xf numFmtId="165" fontId="20" fillId="2" borderId="2" xfId="1"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2" xfId="0" applyFont="1" applyBorder="1" applyAlignment="1" applyProtection="1">
      <alignment horizontal="center" vertical="center"/>
      <protection hidden="1"/>
    </xf>
    <xf numFmtId="44" fontId="20" fillId="11" borderId="2" xfId="1" applyFont="1" applyFill="1" applyBorder="1" applyAlignment="1" applyProtection="1">
      <alignment horizontal="center" vertical="center" wrapText="1"/>
      <protection hidden="1"/>
    </xf>
    <xf numFmtId="164" fontId="20" fillId="0" borderId="1" xfId="0" applyNumberFormat="1" applyFont="1" applyBorder="1" applyAlignment="1" applyProtection="1">
      <alignment horizontal="left" vertical="center"/>
      <protection hidden="1"/>
    </xf>
    <xf numFmtId="0" fontId="55" fillId="0" borderId="1" xfId="3" applyFont="1" applyFill="1" applyBorder="1" applyAlignment="1" applyProtection="1">
      <alignment horizontal="center" vertical="center"/>
      <protection hidden="1"/>
    </xf>
    <xf numFmtId="3" fontId="20" fillId="21" borderId="3" xfId="0" applyNumberFormat="1" applyFont="1" applyFill="1" applyBorder="1" applyAlignment="1" applyProtection="1">
      <alignment horizontal="left" vertical="center" wrapText="1"/>
      <protection hidden="1"/>
    </xf>
    <xf numFmtId="3" fontId="20" fillId="21" borderId="1" xfId="0" applyNumberFormat="1" applyFont="1" applyFill="1" applyBorder="1" applyAlignment="1" applyProtection="1">
      <alignment horizontal="left" vertical="center" wrapText="1"/>
      <protection hidden="1"/>
    </xf>
    <xf numFmtId="165" fontId="23" fillId="21" borderId="1" xfId="1" applyNumberFormat="1" applyFont="1" applyFill="1" applyBorder="1" applyAlignment="1" applyProtection="1">
      <alignment horizontal="center" vertical="center" wrapText="1"/>
      <protection hidden="1"/>
    </xf>
    <xf numFmtId="168" fontId="23" fillId="7" borderId="1" xfId="1" applyNumberFormat="1" applyFont="1" applyFill="1" applyBorder="1" applyAlignment="1" applyProtection="1">
      <alignment horizontal="center" vertical="center" wrapText="1"/>
      <protection hidden="1"/>
    </xf>
    <xf numFmtId="169" fontId="23" fillId="7" borderId="1" xfId="5"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164" fontId="23" fillId="0" borderId="1" xfId="0" applyNumberFormat="1" applyFont="1" applyBorder="1" applyAlignment="1" applyProtection="1">
      <alignment horizontal="left" vertical="center"/>
      <protection hidden="1"/>
    </xf>
    <xf numFmtId="0" fontId="57" fillId="0" borderId="1" xfId="3" applyFont="1" applyFill="1" applyBorder="1" applyAlignment="1" applyProtection="1">
      <alignment horizontal="center" vertical="center"/>
      <protection hidden="1"/>
    </xf>
    <xf numFmtId="3" fontId="23" fillId="21" borderId="3" xfId="0" applyNumberFormat="1" applyFont="1" applyFill="1" applyBorder="1" applyAlignment="1" applyProtection="1">
      <alignment horizontal="left" vertical="center" wrapText="1"/>
      <protection hidden="1"/>
    </xf>
    <xf numFmtId="3" fontId="23" fillId="21" borderId="1" xfId="0" applyNumberFormat="1" applyFont="1" applyFill="1" applyBorder="1" applyAlignment="1" applyProtection="1">
      <alignment horizontal="left" vertical="center" wrapText="1"/>
      <protection hidden="1"/>
    </xf>
    <xf numFmtId="0" fontId="18"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6" fontId="12" fillId="10" borderId="1" xfId="0" applyNumberFormat="1" applyFont="1" applyFill="1" applyBorder="1" applyAlignment="1" applyProtection="1">
      <alignment vertical="center"/>
      <protection hidden="1"/>
    </xf>
    <xf numFmtId="0" fontId="20" fillId="2" borderId="1" xfId="1" applyNumberFormat="1" applyFont="1" applyFill="1" applyBorder="1" applyAlignment="1" applyProtection="1">
      <alignment horizontal="center" vertical="center" wrapText="1"/>
      <protection hidden="1"/>
    </xf>
    <xf numFmtId="165" fontId="20" fillId="0" borderId="1" xfId="1" applyNumberFormat="1" applyFont="1" applyFill="1" applyBorder="1" applyAlignment="1" applyProtection="1">
      <alignment horizontal="center" vertical="center" wrapText="1"/>
      <protection hidden="1"/>
    </xf>
    <xf numFmtId="44" fontId="12" fillId="0" borderId="1" xfId="1" applyFont="1" applyBorder="1" applyAlignment="1" applyProtection="1">
      <alignment vertical="center"/>
      <protection hidden="1"/>
    </xf>
    <xf numFmtId="0" fontId="12" fillId="4" borderId="1" xfId="0" applyFont="1" applyFill="1" applyBorder="1" applyAlignment="1" applyProtection="1">
      <alignment horizontal="center" vertical="center"/>
      <protection hidden="1"/>
    </xf>
    <xf numFmtId="0" fontId="20" fillId="0" borderId="1" xfId="0" applyFont="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1" xfId="0" applyFont="1" applyBorder="1" applyAlignment="1">
      <alignment vertical="center" wrapText="1"/>
    </xf>
    <xf numFmtId="3" fontId="20" fillId="21" borderId="3" xfId="0" applyNumberFormat="1" applyFont="1" applyFill="1" applyBorder="1" applyAlignment="1" applyProtection="1">
      <alignment horizontal="left" vertical="center" wrapText="1"/>
      <protection locked="0"/>
    </xf>
    <xf numFmtId="3" fontId="20" fillId="21" borderId="1" xfId="0" applyNumberFormat="1" applyFont="1" applyFill="1" applyBorder="1" applyAlignment="1" applyProtection="1">
      <alignment horizontal="left" vertical="center" wrapText="1"/>
      <protection locked="0"/>
    </xf>
    <xf numFmtId="14" fontId="12" fillId="0" borderId="1" xfId="0" applyNumberFormat="1" applyFont="1" applyBorder="1" applyAlignment="1" applyProtection="1">
      <alignment vertical="center"/>
      <protection hidden="1"/>
    </xf>
    <xf numFmtId="0" fontId="20" fillId="2" borderId="1" xfId="0" applyFont="1" applyFill="1" applyBorder="1" applyProtection="1">
      <protection hidden="1"/>
    </xf>
    <xf numFmtId="166" fontId="12" fillId="4" borderId="4" xfId="0" applyNumberFormat="1" applyFont="1" applyFill="1" applyBorder="1" applyAlignment="1" applyProtection="1">
      <alignment horizontal="right" vertical="center"/>
      <protection hidden="1"/>
    </xf>
    <xf numFmtId="9" fontId="12" fillId="4" borderId="1" xfId="5" applyFont="1" applyFill="1" applyBorder="1" applyAlignment="1" applyProtection="1">
      <alignment horizontal="center" vertical="center"/>
      <protection hidden="1"/>
    </xf>
    <xf numFmtId="166" fontId="12" fillId="4" borderId="1" xfId="0" applyNumberFormat="1" applyFont="1" applyFill="1" applyBorder="1" applyAlignment="1" applyProtection="1">
      <alignment horizontal="center" vertical="center"/>
      <protection hidden="1"/>
    </xf>
    <xf numFmtId="3" fontId="20" fillId="4"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3" fontId="20" fillId="21" borderId="1" xfId="0" applyNumberFormat="1" applyFont="1" applyFill="1" applyBorder="1" applyAlignment="1" applyProtection="1">
      <alignment horizontal="center" vertical="center" wrapText="1"/>
      <protection hidden="1"/>
    </xf>
    <xf numFmtId="165" fontId="20" fillId="21" borderId="1" xfId="8" applyNumberFormat="1" applyFont="1" applyFill="1" applyBorder="1" applyAlignment="1" applyProtection="1">
      <alignment horizontal="center" vertical="center" wrapText="1"/>
      <protection hidden="1"/>
    </xf>
    <xf numFmtId="165" fontId="20" fillId="3" borderId="1" xfId="8" applyNumberFormat="1" applyFont="1" applyFill="1" applyBorder="1" applyAlignment="1" applyProtection="1">
      <alignment horizontal="center" vertical="center" wrapText="1"/>
      <protection hidden="1"/>
    </xf>
    <xf numFmtId="168" fontId="20" fillId="7" borderId="1" xfId="8" applyNumberFormat="1" applyFont="1" applyFill="1" applyBorder="1" applyAlignment="1" applyProtection="1">
      <alignment horizontal="center" vertical="center" wrapText="1"/>
      <protection hidden="1"/>
    </xf>
    <xf numFmtId="165" fontId="20" fillId="2" borderId="2" xfId="8" applyNumberFormat="1" applyFont="1" applyFill="1" applyBorder="1" applyAlignment="1" applyProtection="1">
      <alignment horizontal="center" vertical="center" wrapText="1"/>
      <protection hidden="1"/>
    </xf>
    <xf numFmtId="44" fontId="20" fillId="11" borderId="2" xfId="8" applyFont="1" applyFill="1" applyBorder="1" applyAlignment="1" applyProtection="1">
      <alignment horizontal="center" vertical="center" wrapText="1"/>
      <protection hidden="1"/>
    </xf>
    <xf numFmtId="165" fontId="20" fillId="2" borderId="1" xfId="8" applyNumberFormat="1" applyFont="1" applyFill="1" applyBorder="1" applyAlignment="1" applyProtection="1">
      <alignment horizontal="center" vertical="center" wrapText="1"/>
      <protection hidden="1"/>
    </xf>
    <xf numFmtId="165" fontId="20" fillId="0" borderId="1" xfId="8" applyNumberFormat="1" applyFont="1" applyFill="1" applyBorder="1" applyAlignment="1" applyProtection="1">
      <alignment horizontal="center" vertical="center" wrapText="1"/>
      <protection hidden="1"/>
    </xf>
    <xf numFmtId="165" fontId="20" fillId="21" borderId="1" xfId="9" applyNumberFormat="1" applyFont="1" applyFill="1" applyBorder="1" applyAlignment="1" applyProtection="1">
      <alignment horizontal="center" vertical="center" wrapText="1"/>
      <protection hidden="1"/>
    </xf>
    <xf numFmtId="165" fontId="20" fillId="3" borderId="1" xfId="9" applyNumberFormat="1" applyFont="1" applyFill="1" applyBorder="1" applyAlignment="1" applyProtection="1">
      <alignment horizontal="center" vertical="center" wrapText="1"/>
      <protection hidden="1"/>
    </xf>
    <xf numFmtId="168" fontId="20" fillId="7" borderId="1" xfId="9" applyNumberFormat="1" applyFont="1" applyFill="1" applyBorder="1" applyAlignment="1" applyProtection="1">
      <alignment horizontal="center" vertical="center" wrapText="1"/>
      <protection hidden="1"/>
    </xf>
    <xf numFmtId="165" fontId="20" fillId="2" borderId="2" xfId="9" applyNumberFormat="1" applyFont="1" applyFill="1" applyBorder="1" applyAlignment="1" applyProtection="1">
      <alignment horizontal="center" vertical="center" wrapText="1"/>
      <protection hidden="1"/>
    </xf>
    <xf numFmtId="165" fontId="20" fillId="21" borderId="1" xfId="10" applyNumberFormat="1" applyFont="1" applyFill="1" applyBorder="1" applyAlignment="1" applyProtection="1">
      <alignment horizontal="center" vertical="center" wrapText="1"/>
      <protection hidden="1"/>
    </xf>
    <xf numFmtId="165" fontId="20" fillId="3" borderId="1" xfId="10" applyNumberFormat="1" applyFont="1" applyFill="1" applyBorder="1" applyAlignment="1" applyProtection="1">
      <alignment horizontal="center" vertical="center" wrapText="1"/>
      <protection hidden="1"/>
    </xf>
    <xf numFmtId="168" fontId="20" fillId="7" borderId="1" xfId="10" applyNumberFormat="1" applyFont="1" applyFill="1" applyBorder="1" applyAlignment="1" applyProtection="1">
      <alignment horizontal="center" vertical="center" wrapText="1"/>
      <protection hidden="1"/>
    </xf>
    <xf numFmtId="165" fontId="20" fillId="2" borderId="2" xfId="10" applyNumberFormat="1" applyFont="1" applyFill="1" applyBorder="1" applyAlignment="1" applyProtection="1">
      <alignment horizontal="center" vertical="center" wrapText="1"/>
      <protection hidden="1"/>
    </xf>
    <xf numFmtId="44" fontId="20" fillId="11" borderId="2" xfId="10" applyFont="1" applyFill="1" applyBorder="1" applyAlignment="1" applyProtection="1">
      <alignment horizontal="center" vertical="center" wrapText="1"/>
      <protection hidden="1"/>
    </xf>
    <xf numFmtId="165" fontId="20" fillId="21" borderId="1" xfId="11" applyNumberFormat="1" applyFont="1" applyFill="1" applyBorder="1" applyAlignment="1" applyProtection="1">
      <alignment horizontal="center" vertical="center" wrapText="1"/>
      <protection hidden="1"/>
    </xf>
    <xf numFmtId="165" fontId="20" fillId="3" borderId="1" xfId="11" applyNumberFormat="1" applyFont="1" applyFill="1" applyBorder="1" applyAlignment="1" applyProtection="1">
      <alignment horizontal="center" vertical="center" wrapText="1"/>
      <protection hidden="1"/>
    </xf>
    <xf numFmtId="168" fontId="20" fillId="7" borderId="1" xfId="11" applyNumberFormat="1" applyFont="1" applyFill="1" applyBorder="1" applyAlignment="1" applyProtection="1">
      <alignment horizontal="center" vertical="center" wrapText="1"/>
      <protection hidden="1"/>
    </xf>
    <xf numFmtId="165" fontId="20" fillId="2" borderId="2" xfId="11" applyNumberFormat="1" applyFont="1" applyFill="1" applyBorder="1" applyAlignment="1" applyProtection="1">
      <alignment horizontal="center" vertical="center" wrapText="1"/>
      <protection hidden="1"/>
    </xf>
    <xf numFmtId="165" fontId="20" fillId="2" borderId="1" xfId="11" applyNumberFormat="1" applyFont="1" applyFill="1" applyBorder="1" applyAlignment="1" applyProtection="1">
      <alignment horizontal="center" vertical="center" wrapText="1"/>
      <protection hidden="1"/>
    </xf>
    <xf numFmtId="165" fontId="20" fillId="21" borderId="1" xfId="7" applyNumberFormat="1" applyFont="1" applyFill="1" applyBorder="1" applyAlignment="1" applyProtection="1">
      <alignment horizontal="center" vertical="center" wrapText="1"/>
      <protection hidden="1"/>
    </xf>
    <xf numFmtId="165" fontId="20" fillId="3" borderId="1" xfId="7" applyNumberFormat="1" applyFont="1" applyFill="1" applyBorder="1" applyAlignment="1" applyProtection="1">
      <alignment horizontal="center" vertical="center" wrapText="1"/>
      <protection hidden="1"/>
    </xf>
    <xf numFmtId="168" fontId="20" fillId="7" borderId="1" xfId="7" applyNumberFormat="1" applyFont="1" applyFill="1" applyBorder="1" applyAlignment="1" applyProtection="1">
      <alignment horizontal="center" vertical="center" wrapText="1"/>
      <protection hidden="1"/>
    </xf>
    <xf numFmtId="165" fontId="20" fillId="2" borderId="2" xfId="7" applyNumberFormat="1" applyFont="1" applyFill="1" applyBorder="1" applyAlignment="1" applyProtection="1">
      <alignment horizontal="center" vertical="center" wrapText="1"/>
      <protection hidden="1"/>
    </xf>
    <xf numFmtId="44" fontId="20" fillId="11" borderId="2" xfId="7" applyFont="1" applyFill="1" applyBorder="1" applyAlignment="1" applyProtection="1">
      <alignment horizontal="center" vertical="center" wrapText="1"/>
      <protection hidden="1"/>
    </xf>
    <xf numFmtId="165" fontId="20" fillId="2" borderId="1" xfId="7" applyNumberFormat="1" applyFont="1" applyFill="1" applyBorder="1" applyAlignment="1" applyProtection="1">
      <alignment horizontal="center" vertical="center" wrapText="1"/>
      <protection hidden="1"/>
    </xf>
    <xf numFmtId="165" fontId="20" fillId="21" borderId="1" xfId="12" applyNumberFormat="1" applyFont="1" applyFill="1" applyBorder="1" applyAlignment="1" applyProtection="1">
      <alignment horizontal="center" vertical="center" wrapText="1"/>
      <protection hidden="1"/>
    </xf>
    <xf numFmtId="165" fontId="20" fillId="3" borderId="1" xfId="12" applyNumberFormat="1" applyFont="1" applyFill="1" applyBorder="1" applyAlignment="1" applyProtection="1">
      <alignment horizontal="center" vertical="center" wrapText="1"/>
      <protection hidden="1"/>
    </xf>
    <xf numFmtId="168" fontId="20" fillId="7" borderId="1" xfId="12" applyNumberFormat="1" applyFont="1" applyFill="1" applyBorder="1" applyAlignment="1" applyProtection="1">
      <alignment horizontal="center" vertical="center" wrapText="1"/>
      <protection hidden="1"/>
    </xf>
    <xf numFmtId="165" fontId="20" fillId="2" borderId="2" xfId="12" applyNumberFormat="1" applyFont="1" applyFill="1" applyBorder="1" applyAlignment="1" applyProtection="1">
      <alignment horizontal="center" vertical="center" wrapText="1"/>
      <protection hidden="1"/>
    </xf>
    <xf numFmtId="165" fontId="23" fillId="21" borderId="1" xfId="15" applyNumberFormat="1" applyFont="1" applyFill="1" applyBorder="1" applyAlignment="1" applyProtection="1">
      <alignment horizontal="center" vertical="center" wrapText="1"/>
      <protection hidden="1"/>
    </xf>
    <xf numFmtId="165" fontId="20" fillId="3" borderId="1" xfId="15" applyNumberFormat="1" applyFont="1" applyFill="1" applyBorder="1" applyAlignment="1" applyProtection="1">
      <alignment horizontal="center" vertical="center" wrapText="1"/>
      <protection hidden="1"/>
    </xf>
    <xf numFmtId="168" fontId="20" fillId="7" borderId="1" xfId="15" applyNumberFormat="1" applyFont="1" applyFill="1" applyBorder="1" applyAlignment="1" applyProtection="1">
      <alignment horizontal="center" vertical="center" wrapText="1"/>
      <protection hidden="1"/>
    </xf>
    <xf numFmtId="165" fontId="20" fillId="2" borderId="2" xfId="15" applyNumberFormat="1" applyFont="1" applyFill="1" applyBorder="1" applyAlignment="1" applyProtection="1">
      <alignment horizontal="center" vertical="center" wrapText="1"/>
      <protection hidden="1"/>
    </xf>
    <xf numFmtId="165" fontId="20" fillId="21" borderId="1" xfId="15" applyNumberFormat="1" applyFont="1" applyFill="1" applyBorder="1" applyAlignment="1" applyProtection="1">
      <alignment horizontal="center" vertical="center" wrapText="1"/>
      <protection hidden="1"/>
    </xf>
    <xf numFmtId="0" fontId="0" fillId="4" borderId="0" xfId="0" applyFill="1"/>
    <xf numFmtId="0" fontId="20" fillId="2" borderId="0" xfId="0" applyFont="1" applyFill="1" applyAlignment="1" applyProtection="1">
      <alignment horizontal="center"/>
      <protection hidden="1"/>
    </xf>
    <xf numFmtId="165" fontId="20" fillId="0" borderId="0" xfId="1" applyNumberFormat="1" applyFont="1" applyAlignment="1" applyProtection="1">
      <alignment horizontal="center"/>
      <protection hidden="1"/>
    </xf>
    <xf numFmtId="44" fontId="20" fillId="0" borderId="0" xfId="1" applyFont="1" applyAlignment="1" applyProtection="1">
      <alignment horizontal="center"/>
      <protection hidden="1"/>
    </xf>
    <xf numFmtId="0" fontId="17" fillId="0" borderId="0" xfId="3" applyFont="1" applyProtection="1">
      <protection hidden="1"/>
    </xf>
    <xf numFmtId="0" fontId="27" fillId="0" borderId="1" xfId="0" quotePrefix="1" applyFont="1" applyBorder="1" applyAlignment="1" applyProtection="1">
      <alignment horizontal="center" vertical="center" wrapText="1"/>
      <protection hidden="1"/>
    </xf>
    <xf numFmtId="0" fontId="27" fillId="1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center" vertical="center" wrapText="1"/>
      <protection hidden="1"/>
    </xf>
    <xf numFmtId="165" fontId="27" fillId="12" borderId="1" xfId="1" applyNumberFormat="1" applyFont="1" applyFill="1" applyBorder="1" applyAlignment="1" applyProtection="1">
      <alignment horizontal="center" vertical="center" wrapText="1"/>
      <protection hidden="1"/>
    </xf>
    <xf numFmtId="169" fontId="27" fillId="12" borderId="1" xfId="5" applyNumberFormat="1" applyFont="1" applyFill="1" applyBorder="1" applyAlignment="1" applyProtection="1">
      <alignment horizontal="center" vertical="center" wrapText="1"/>
      <protection hidden="1"/>
    </xf>
    <xf numFmtId="165" fontId="27" fillId="21" borderId="1" xfId="1" applyNumberFormat="1" applyFont="1" applyFill="1" applyBorder="1" applyAlignment="1" applyProtection="1">
      <alignment horizontal="center" vertical="center" wrapText="1"/>
      <protection hidden="1"/>
    </xf>
    <xf numFmtId="166" fontId="58" fillId="0" borderId="1" xfId="0" applyNumberFormat="1" applyFont="1" applyBorder="1" applyAlignment="1" applyProtection="1">
      <alignment vertical="center"/>
      <protection hidden="1"/>
    </xf>
    <xf numFmtId="166" fontId="58" fillId="10" borderId="1" xfId="0" applyNumberFormat="1" applyFont="1" applyFill="1" applyBorder="1" applyAlignment="1" applyProtection="1">
      <alignment horizontal="right" vertical="center"/>
      <protection hidden="1"/>
    </xf>
    <xf numFmtId="165" fontId="27" fillId="3" borderId="1" xfId="1" applyNumberFormat="1" applyFont="1" applyFill="1" applyBorder="1" applyAlignment="1" applyProtection="1">
      <alignment horizontal="center" vertical="center" wrapText="1"/>
      <protection hidden="1"/>
    </xf>
    <xf numFmtId="168" fontId="27" fillId="7" borderId="1" xfId="1" applyNumberFormat="1" applyFont="1" applyFill="1" applyBorder="1" applyAlignment="1" applyProtection="1">
      <alignment horizontal="center" vertical="center" wrapText="1"/>
      <protection hidden="1"/>
    </xf>
    <xf numFmtId="165" fontId="27" fillId="2" borderId="1" xfId="1" applyNumberFormat="1" applyFont="1" applyFill="1" applyBorder="1" applyAlignment="1" applyProtection="1">
      <alignment horizontal="center" vertical="center" wrapText="1"/>
      <protection hidden="1"/>
    </xf>
    <xf numFmtId="169" fontId="27" fillId="2" borderId="1" xfId="5" applyNumberFormat="1" applyFont="1" applyFill="1" applyBorder="1" applyAlignment="1" applyProtection="1">
      <alignment horizontal="center" vertical="center" wrapText="1"/>
      <protection hidden="1"/>
    </xf>
    <xf numFmtId="0" fontId="58"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165" fontId="27" fillId="2" borderId="2" xfId="1" applyNumberFormat="1"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58" fillId="0" borderId="2" xfId="0" applyFont="1" applyBorder="1" applyAlignment="1" applyProtection="1">
      <alignment horizontal="center" vertical="center"/>
      <protection hidden="1"/>
    </xf>
    <xf numFmtId="44" fontId="27" fillId="11" borderId="2" xfId="1" applyFont="1" applyFill="1" applyBorder="1" applyAlignment="1" applyProtection="1">
      <alignment horizontal="center" vertical="center" wrapText="1"/>
      <protection hidden="1"/>
    </xf>
    <xf numFmtId="0" fontId="58" fillId="0" borderId="1" xfId="0" applyFont="1" applyBorder="1" applyAlignment="1" applyProtection="1">
      <alignment vertical="center" wrapText="1"/>
      <protection hidden="1"/>
    </xf>
    <xf numFmtId="167" fontId="27" fillId="20" borderId="1" xfId="0" applyNumberFormat="1" applyFont="1" applyFill="1" applyBorder="1" applyAlignment="1" applyProtection="1">
      <alignment horizontal="center" vertical="center"/>
      <protection hidden="1"/>
    </xf>
    <xf numFmtId="168" fontId="27" fillId="3" borderId="1" xfId="0" applyNumberFormat="1" applyFont="1" applyFill="1" applyBorder="1" applyAlignment="1" applyProtection="1">
      <alignment horizontal="center" vertical="center"/>
      <protection hidden="1"/>
    </xf>
    <xf numFmtId="0" fontId="27" fillId="20" borderId="1" xfId="0" applyFont="1" applyFill="1" applyBorder="1" applyAlignment="1" applyProtection="1">
      <alignment horizontal="center" vertical="center"/>
      <protection hidden="1"/>
    </xf>
    <xf numFmtId="49" fontId="27" fillId="20" borderId="1" xfId="4" applyFont="1" applyFill="1" applyBorder="1" applyAlignment="1" applyProtection="1">
      <alignment horizontal="center" vertical="center" wrapText="1"/>
      <protection hidden="1"/>
    </xf>
    <xf numFmtId="165" fontId="27" fillId="2" borderId="1" xfId="0" applyNumberFormat="1" applyFont="1" applyFill="1" applyBorder="1" applyAlignment="1" applyProtection="1">
      <alignment horizontal="center" vertical="center"/>
      <protection hidden="1"/>
    </xf>
    <xf numFmtId="164" fontId="27" fillId="0" borderId="1" xfId="0" applyNumberFormat="1" applyFont="1" applyBorder="1" applyAlignment="1" applyProtection="1">
      <alignment horizontal="left" vertical="center"/>
      <protection hidden="1"/>
    </xf>
    <xf numFmtId="49" fontId="27" fillId="0" borderId="1" xfId="4" applyFont="1" applyBorder="1" applyProtection="1">
      <alignment horizontal="left" vertical="center"/>
      <protection hidden="1"/>
    </xf>
    <xf numFmtId="0" fontId="27" fillId="3" borderId="1"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0" fontId="59" fillId="0" borderId="1" xfId="3" applyFont="1" applyFill="1" applyBorder="1" applyAlignment="1" applyProtection="1">
      <alignment horizontal="center" vertical="center"/>
      <protection hidden="1"/>
    </xf>
    <xf numFmtId="3" fontId="27" fillId="21" borderId="3" xfId="0" applyNumberFormat="1" applyFont="1" applyFill="1" applyBorder="1" applyAlignment="1" applyProtection="1">
      <alignment horizontal="left" vertical="center" wrapText="1"/>
      <protection hidden="1"/>
    </xf>
    <xf numFmtId="3" fontId="27" fillId="21" borderId="1" xfId="0" applyNumberFormat="1" applyFont="1" applyFill="1" applyBorder="1" applyAlignment="1" applyProtection="1">
      <alignment horizontal="left" vertical="center" wrapText="1"/>
      <protection hidden="1"/>
    </xf>
    <xf numFmtId="165" fontId="27" fillId="7" borderId="1" xfId="1" applyNumberFormat="1" applyFont="1" applyFill="1" applyBorder="1" applyAlignment="1" applyProtection="1">
      <alignment horizontal="center" vertical="center" wrapText="1"/>
      <protection hidden="1"/>
    </xf>
    <xf numFmtId="0" fontId="60" fillId="2" borderId="1" xfId="0" applyFont="1" applyFill="1" applyBorder="1" applyAlignment="1">
      <alignment vertical="center"/>
    </xf>
    <xf numFmtId="0" fontId="58" fillId="2" borderId="1" xfId="0" applyFont="1" applyFill="1" applyBorder="1" applyAlignment="1">
      <alignment vertical="center" wrapText="1"/>
    </xf>
    <xf numFmtId="0" fontId="61" fillId="0" borderId="1" xfId="3" applyFont="1" applyFill="1" applyBorder="1" applyAlignment="1" applyProtection="1">
      <alignment horizontal="center" vertical="center"/>
      <protection hidden="1"/>
    </xf>
    <xf numFmtId="166" fontId="58" fillId="2" borderId="1" xfId="0" applyNumberFormat="1" applyFont="1" applyFill="1" applyBorder="1" applyAlignment="1" applyProtection="1">
      <alignment vertical="center"/>
      <protection hidden="1"/>
    </xf>
    <xf numFmtId="166" fontId="58" fillId="0" borderId="1" xfId="0" applyNumberFormat="1" applyFont="1" applyBorder="1" applyAlignment="1" applyProtection="1">
      <alignment horizontal="center" vertical="center"/>
      <protection hidden="1"/>
    </xf>
    <xf numFmtId="0" fontId="58" fillId="0" borderId="1" xfId="0" applyFont="1" applyBorder="1" applyAlignment="1" applyProtection="1">
      <alignment horizontal="center" vertical="center"/>
      <protection hidden="1"/>
    </xf>
    <xf numFmtId="3" fontId="27" fillId="21" borderId="1"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58" fillId="2" borderId="1" xfId="0" applyFont="1" applyFill="1" applyBorder="1" applyAlignment="1" applyProtection="1">
      <alignment horizontal="center" vertical="center"/>
      <protection hidden="1"/>
    </xf>
    <xf numFmtId="165" fontId="27" fillId="21" borderId="1" xfId="17" applyNumberFormat="1" applyFont="1" applyFill="1" applyBorder="1" applyAlignment="1" applyProtection="1">
      <alignment horizontal="center" vertical="center" wrapText="1"/>
      <protection hidden="1"/>
    </xf>
    <xf numFmtId="165" fontId="27" fillId="3" borderId="1" xfId="17" applyNumberFormat="1" applyFont="1" applyFill="1" applyBorder="1" applyAlignment="1" applyProtection="1">
      <alignment horizontal="center" vertical="center" wrapText="1"/>
      <protection hidden="1"/>
    </xf>
    <xf numFmtId="168" fontId="27" fillId="7" borderId="1" xfId="17" applyNumberFormat="1" applyFont="1" applyFill="1" applyBorder="1" applyAlignment="1" applyProtection="1">
      <alignment horizontal="center" vertical="center" wrapText="1"/>
      <protection hidden="1"/>
    </xf>
    <xf numFmtId="165" fontId="27" fillId="2" borderId="2" xfId="17" applyNumberFormat="1" applyFont="1" applyFill="1" applyBorder="1" applyAlignment="1" applyProtection="1">
      <alignment horizontal="center" vertical="center" wrapText="1"/>
      <protection hidden="1"/>
    </xf>
    <xf numFmtId="165" fontId="20" fillId="12" borderId="1" xfId="17" applyNumberFormat="1" applyFont="1" applyFill="1" applyBorder="1" applyAlignment="1" applyProtection="1">
      <alignment horizontal="center" vertical="center" wrapText="1"/>
      <protection hidden="1"/>
    </xf>
    <xf numFmtId="165" fontId="27" fillId="2" borderId="1" xfId="17" applyNumberFormat="1" applyFont="1" applyFill="1" applyBorder="1" applyAlignment="1" applyProtection="1">
      <alignment horizontal="center" vertical="center" wrapText="1"/>
      <protection hidden="1"/>
    </xf>
    <xf numFmtId="0" fontId="20" fillId="0" borderId="1" xfId="0" quotePrefix="1" applyFont="1" applyFill="1" applyBorder="1" applyAlignment="1" applyProtection="1">
      <alignment horizontal="center" vertical="center" wrapText="1"/>
      <protection hidden="1"/>
    </xf>
    <xf numFmtId="0" fontId="51" fillId="0" borderId="10" xfId="0" applyFont="1" applyBorder="1" applyAlignment="1">
      <alignment horizontal="center" vertical="center"/>
    </xf>
    <xf numFmtId="0" fontId="7" fillId="0" borderId="0" xfId="0" applyFont="1" applyAlignment="1">
      <alignment horizontal="center" vertical="center"/>
    </xf>
    <xf numFmtId="0" fontId="52" fillId="2" borderId="0" xfId="0" applyFont="1" applyFill="1" applyAlignment="1" applyProtection="1">
      <alignment horizontal="center" vertical="center"/>
      <protection hidden="1"/>
    </xf>
    <xf numFmtId="0" fontId="52" fillId="9" borderId="11" xfId="6" applyFont="1" applyFill="1" applyBorder="1" applyAlignment="1" applyProtection="1">
      <alignment horizontal="center" vertical="center" wrapText="1"/>
      <protection hidden="1"/>
    </xf>
    <xf numFmtId="0" fontId="52" fillId="9" borderId="10" xfId="6" applyFont="1" applyFill="1" applyBorder="1" applyAlignment="1" applyProtection="1">
      <alignment horizontal="center" vertical="center" wrapText="1"/>
      <protection hidden="1"/>
    </xf>
    <xf numFmtId="0" fontId="52" fillId="9" borderId="12" xfId="6" applyFont="1" applyFill="1" applyBorder="1" applyAlignment="1" applyProtection="1">
      <alignment horizontal="center" vertical="center" wrapText="1"/>
      <protection hidden="1"/>
    </xf>
    <xf numFmtId="0" fontId="52" fillId="9" borderId="0" xfId="0" applyFont="1" applyFill="1" applyAlignment="1" applyProtection="1">
      <alignment horizontal="center" vertical="center"/>
      <protection hidden="1"/>
    </xf>
    <xf numFmtId="0" fontId="52" fillId="9" borderId="7"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0" xfId="0" applyFont="1" applyFill="1" applyAlignment="1" applyProtection="1">
      <alignment horizontal="center" vertical="center"/>
      <protection hidden="1"/>
    </xf>
    <xf numFmtId="0" fontId="22" fillId="6" borderId="7" xfId="0"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0" fillId="0" borderId="10" xfId="0" applyFont="1" applyBorder="1" applyAlignment="1" applyProtection="1">
      <alignment horizontal="center" vertical="center"/>
      <protection hidden="1"/>
    </xf>
    <xf numFmtId="0" fontId="24" fillId="9" borderId="2" xfId="6" applyFont="1" applyFill="1" applyBorder="1" applyAlignment="1" applyProtection="1">
      <alignment horizontal="center" vertical="center" wrapText="1"/>
      <protection hidden="1"/>
    </xf>
    <xf numFmtId="0" fontId="24" fillId="9" borderId="9" xfId="6" applyFont="1" applyFill="1" applyBorder="1" applyAlignment="1" applyProtection="1">
      <alignment horizontal="center" vertical="center" wrapText="1"/>
      <protection hidden="1"/>
    </xf>
    <xf numFmtId="0" fontId="24" fillId="9" borderId="3" xfId="6" applyFont="1" applyFill="1" applyBorder="1" applyAlignment="1" applyProtection="1">
      <alignment horizontal="center" vertical="center" wrapText="1"/>
      <protection hidden="1"/>
    </xf>
    <xf numFmtId="0" fontId="22" fillId="9" borderId="0" xfId="0" applyFont="1" applyFill="1" applyAlignment="1" applyProtection="1">
      <alignment horizontal="center" vertical="center"/>
      <protection hidden="1"/>
    </xf>
    <xf numFmtId="0" fontId="22" fillId="9" borderId="7" xfId="0" applyFont="1" applyFill="1" applyBorder="1" applyAlignment="1" applyProtection="1">
      <alignment horizontal="center" vertical="center"/>
      <protection hidden="1"/>
    </xf>
    <xf numFmtId="0" fontId="34" fillId="26" borderId="1" xfId="0" applyFont="1" applyFill="1" applyBorder="1" applyAlignment="1">
      <alignment horizontal="center" vertical="center"/>
    </xf>
    <xf numFmtId="0" fontId="3" fillId="26" borderId="1" xfId="0" applyFont="1" applyFill="1" applyBorder="1" applyAlignment="1">
      <alignment horizontal="center" vertical="center"/>
    </xf>
    <xf numFmtId="0" fontId="30" fillId="0" borderId="0" xfId="0" applyFont="1" applyAlignment="1" applyProtection="1">
      <alignment horizontal="center" vertical="center" wrapText="1"/>
      <protection hidden="1"/>
    </xf>
    <xf numFmtId="0" fontId="24" fillId="9" borderId="1" xfId="6" applyFont="1" applyFill="1" applyBorder="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0" fillId="17" borderId="1" xfId="0" applyFill="1" applyBorder="1" applyAlignment="1">
      <alignment horizontal="center" vertical="center" wrapText="1"/>
    </xf>
    <xf numFmtId="0" fontId="0" fillId="24" borderId="1" xfId="0" applyFill="1" applyBorder="1" applyAlignment="1">
      <alignment horizontal="center" vertical="center" wrapText="1"/>
    </xf>
    <xf numFmtId="0" fontId="12" fillId="10" borderId="1" xfId="0" applyFont="1" applyFill="1" applyBorder="1" applyAlignment="1">
      <alignment horizontal="left" vertical="center" wrapText="1"/>
    </xf>
    <xf numFmtId="0" fontId="7" fillId="20" borderId="1" xfId="0" applyFont="1" applyFill="1" applyBorder="1" applyAlignment="1">
      <alignment horizontal="center" vertical="center" wrapText="1"/>
    </xf>
    <xf numFmtId="0" fontId="0" fillId="22" borderId="1" xfId="0" applyFill="1" applyBorder="1" applyAlignment="1">
      <alignment horizontal="left" vertical="center" wrapText="1"/>
    </xf>
    <xf numFmtId="0" fontId="0" fillId="21" borderId="1" xfId="0" applyFill="1" applyBorder="1" applyAlignment="1">
      <alignment horizontal="center" vertical="center"/>
    </xf>
    <xf numFmtId="0" fontId="0" fillId="23" borderId="1" xfId="0" applyFill="1" applyBorder="1" applyAlignment="1">
      <alignment horizontal="center" vertical="center" wrapText="1"/>
    </xf>
    <xf numFmtId="0" fontId="0" fillId="15" borderId="1" xfId="0" applyFill="1" applyBorder="1" applyAlignment="1">
      <alignment horizontal="left" vertical="center" wrapText="1"/>
    </xf>
    <xf numFmtId="0" fontId="0" fillId="11" borderId="1" xfId="0" applyFill="1" applyBorder="1" applyAlignment="1">
      <alignment horizontal="center" vertical="center"/>
    </xf>
    <xf numFmtId="0" fontId="0" fillId="10" borderId="4" xfId="0" applyFill="1" applyBorder="1" applyAlignment="1">
      <alignment horizontal="left" vertical="center" wrapText="1"/>
    </xf>
    <xf numFmtId="0" fontId="0" fillId="10" borderId="6" xfId="0" applyFill="1" applyBorder="1" applyAlignment="1">
      <alignment horizontal="left" vertical="center" wrapText="1"/>
    </xf>
    <xf numFmtId="0" fontId="0" fillId="10" borderId="5" xfId="0" applyFill="1" applyBorder="1" applyAlignment="1">
      <alignment horizontal="left" vertical="center" wrapText="1"/>
    </xf>
    <xf numFmtId="0" fontId="0" fillId="8" borderId="4" xfId="0" applyFill="1" applyBorder="1" applyAlignment="1">
      <alignment horizontal="left" vertical="center" wrapText="1"/>
    </xf>
    <xf numFmtId="0" fontId="0" fillId="8" borderId="6" xfId="0" applyFill="1" applyBorder="1" applyAlignment="1">
      <alignment horizontal="left" vertical="center" wrapText="1"/>
    </xf>
    <xf numFmtId="0" fontId="0" fillId="8" borderId="5" xfId="0" applyFill="1" applyBorder="1" applyAlignment="1">
      <alignment horizontal="left" vertical="center" wrapText="1"/>
    </xf>
    <xf numFmtId="0" fontId="12" fillId="15"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0" fillId="0" borderId="0" xfId="0"/>
    <xf numFmtId="0" fontId="20" fillId="1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center" vertical="center" wrapText="1"/>
      <protection hidden="1"/>
    </xf>
    <xf numFmtId="169" fontId="20" fillId="12" borderId="1" xfId="5" applyNumberFormat="1" applyFont="1" applyFill="1" applyBorder="1" applyAlignment="1" applyProtection="1">
      <alignment horizontal="center" vertical="center" wrapText="1"/>
      <protection hidden="1"/>
    </xf>
    <xf numFmtId="166" fontId="58" fillId="0" borderId="1" xfId="0" applyNumberFormat="1" applyFont="1" applyBorder="1" applyAlignment="1" applyProtection="1">
      <alignment vertical="center"/>
      <protection hidden="1"/>
    </xf>
    <xf numFmtId="166" fontId="58" fillId="10" borderId="1" xfId="0" applyNumberFormat="1" applyFont="1" applyFill="1" applyBorder="1" applyAlignment="1" applyProtection="1">
      <alignment horizontal="right" vertical="center"/>
      <protection hidden="1"/>
    </xf>
    <xf numFmtId="169" fontId="27" fillId="2" borderId="1" xfId="5" applyNumberFormat="1"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58" fillId="0" borderId="2" xfId="0" applyFont="1" applyBorder="1" applyAlignment="1" applyProtection="1">
      <alignment horizontal="center" vertical="center"/>
      <protection hidden="1"/>
    </xf>
    <xf numFmtId="167" fontId="20" fillId="20" borderId="1" xfId="0" applyNumberFormat="1" applyFont="1" applyFill="1" applyBorder="1" applyAlignment="1" applyProtection="1">
      <alignment horizontal="center" vertical="center"/>
      <protection hidden="1"/>
    </xf>
    <xf numFmtId="0" fontId="20" fillId="20" borderId="1" xfId="0" applyFont="1" applyFill="1" applyBorder="1" applyAlignment="1" applyProtection="1">
      <alignment horizontal="center" vertical="center"/>
      <protection hidden="1"/>
    </xf>
    <xf numFmtId="49" fontId="20" fillId="20" borderId="1" xfId="4" applyFont="1" applyFill="1" applyBorder="1" applyAlignment="1" applyProtection="1">
      <alignment horizontal="center" vertical="center" wrapText="1"/>
      <protection hidden="1"/>
    </xf>
    <xf numFmtId="164" fontId="27" fillId="0" borderId="1" xfId="0" applyNumberFormat="1" applyFont="1" applyBorder="1" applyAlignment="1" applyProtection="1">
      <alignment horizontal="left" vertical="center"/>
      <protection hidden="1"/>
    </xf>
    <xf numFmtId="49" fontId="20" fillId="0" borderId="1" xfId="4" applyFont="1" applyBorder="1" applyProtection="1">
      <alignment horizontal="left" vertical="center"/>
      <protection hidden="1"/>
    </xf>
    <xf numFmtId="0" fontId="20" fillId="0" borderId="1" xfId="0" applyFont="1" applyBorder="1" applyAlignment="1" applyProtection="1">
      <alignment horizontal="center" vertical="center"/>
      <protection hidden="1"/>
    </xf>
    <xf numFmtId="0" fontId="61" fillId="0" borderId="1" xfId="3" applyFont="1" applyFill="1" applyBorder="1" applyAlignment="1" applyProtection="1">
      <alignment horizontal="center" vertical="center"/>
      <protection hidden="1"/>
    </xf>
    <xf numFmtId="0" fontId="58" fillId="2" borderId="1" xfId="0" applyFont="1" applyFill="1" applyBorder="1" applyAlignment="1">
      <alignment horizontal="center" vertical="center" wrapText="1"/>
    </xf>
    <xf numFmtId="166" fontId="58" fillId="0" borderId="1" xfId="0" applyNumberFormat="1" applyFont="1" applyBorder="1" applyAlignment="1" applyProtection="1">
      <alignment horizontal="center" vertical="center"/>
      <protection hidden="1"/>
    </xf>
    <xf numFmtId="0" fontId="58" fillId="0" borderId="1" xfId="0" applyFont="1" applyBorder="1" applyAlignment="1" applyProtection="1">
      <alignment horizontal="center" vertical="center"/>
      <protection hidden="1"/>
    </xf>
    <xf numFmtId="0" fontId="12" fillId="0" borderId="1" xfId="0" applyFont="1" applyBorder="1" applyAlignment="1" applyProtection="1">
      <alignment horizontal="left" vertical="center" wrapText="1"/>
      <protection hidden="1"/>
    </xf>
    <xf numFmtId="3" fontId="27" fillId="21" borderId="1" xfId="0" applyNumberFormat="1"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cellXfs>
  <cellStyles count="19">
    <cellStyle name="BodyStyle" xfId="4" xr:uid="{00000000-0005-0000-0000-000000000000}"/>
    <cellStyle name="HeaderStyle" xfId="6" xr:uid="{BD46FB32-63ED-457E-A75F-FDC84A3AF44E}"/>
    <cellStyle name="Hipervínculo" xfId="3" builtinId="8"/>
    <cellStyle name="Moneda" xfId="1" builtinId="4"/>
    <cellStyle name="Moneda 10" xfId="17" xr:uid="{E0D84287-EB07-40B8-979C-17B7E2CA0B96}"/>
    <cellStyle name="Moneda 11" xfId="18" xr:uid="{00000000-0005-0000-0000-00003E000000}"/>
    <cellStyle name="Moneda 2" xfId="7" xr:uid="{00000000-0005-0000-0000-000033000000}"/>
    <cellStyle name="Moneda 3" xfId="8" xr:uid="{00000000-0005-0000-0000-000034000000}"/>
    <cellStyle name="Moneda 3 2" xfId="13" xr:uid="{0AD9957A-EA83-4680-AE95-AC84CB3C8676}"/>
    <cellStyle name="Moneda 3 3" xfId="15" xr:uid="{70E26E22-938D-4BC6-87E5-BBDE860F07A9}"/>
    <cellStyle name="Moneda 4" xfId="9" xr:uid="{00000000-0005-0000-0000-000035000000}"/>
    <cellStyle name="Moneda 5" xfId="10" xr:uid="{00000000-0005-0000-0000-000036000000}"/>
    <cellStyle name="Moneda 6" xfId="11" xr:uid="{00000000-0005-0000-0000-000037000000}"/>
    <cellStyle name="Moneda 7" xfId="12" xr:uid="{9A64839B-4B07-427D-8798-F6EAE617B54A}"/>
    <cellStyle name="Moneda 8" xfId="14" xr:uid="{00000000-0005-0000-0000-00003A000000}"/>
    <cellStyle name="Moneda 9" xfId="16" xr:uid="{A35D566A-C674-45CB-88AE-AE52DCC0996E}"/>
    <cellStyle name="Normal" xfId="0" builtinId="0"/>
    <cellStyle name="Normal 2" xfId="2" xr:uid="{00000000-0005-0000-0000-000005000000}"/>
    <cellStyle name="Porcentaje" xfId="5" builtinId="5"/>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70C0"/>
          <bgColor rgb="FFFFFFFF"/>
        </patternFill>
      </fill>
    </dxf>
    <dxf>
      <numFmt numFmtId="165" formatCode="_-&quot;$&quot;\ * #,##0_-;\-&quot;$&quot;\ * #,##0_-;_-&quot;$&quot;\ * &quot;-&quot;??_-;_-@_-"/>
    </dxf>
  </dxfs>
  <tableStyles count="0" defaultTableStyle="TableStyleMedium2" defaultPivotStyle="PivotStyleLight16"/>
  <colors>
    <mruColors>
      <color rgb="FFFEAAA4"/>
      <color rgb="FFFFCCCC"/>
      <color rgb="FFFF99FF"/>
      <color rgb="FFFFCCFF"/>
      <color rgb="FFEF5B5B"/>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inerosf/Downloads/Plan%20Contratistas%202024%20V2_22Ene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a/Downloads/1.%20Plan%20Contratistas%202024%20V1_28Dic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pinerosf/Downloads/PIC_PAA_contratistas-Plan-Contratistas-2024-V29-26Julio2024%20final%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PAA%20UPN%202023%20Consolidados%2006Ene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dagogicaedu-my.sharepoint.com/Users/jeespitias/OneDrive%20-%20Universidad%20Pedagogica%20Nacional/Documentos/JhonE/Presupuesto/Ppto%202023/PAA%20UPN%202023%20Consolidados%2006Ene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Supernumerarios/Supernumerarios%20y%20Contratistas%20UPN%20-%20Propuesta%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dagogicaedu-my.sharepoint.com/personal/jeespitias_upn_edu_co/Documents/Documentos/JhonE/PDI/Proyectos/Proyectos%202024/Ficha%20Proyectos%20Inversi&#243;n%20UP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refreshError="1"/>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numerarios"/>
      <sheetName val="Incremento Super 2023-2022"/>
      <sheetName val="Contratistas"/>
    </sheetNames>
    <sheetDataSet>
      <sheetData sheetId="0" refreshError="1"/>
      <sheetData sheetId="1" refreshError="1"/>
      <sheetData sheetId="2">
        <row r="3">
          <cell r="A3" t="str">
            <v>No</v>
          </cell>
          <cell r="B3" t="str">
            <v>CENTRO RESPONSABILIDAD</v>
          </cell>
          <cell r="C3" t="str">
            <v>DEPENDENCIA</v>
          </cell>
          <cell r="D3" t="str">
            <v>GRUPO</v>
          </cell>
          <cell r="E3" t="str">
            <v>NECESIDAD</v>
          </cell>
          <cell r="F3" t="str">
            <v>TIPO</v>
          </cell>
          <cell r="G3" t="str">
            <v>PERFIL</v>
          </cell>
          <cell r="H3" t="str">
            <v>GRADO</v>
          </cell>
          <cell r="I3" t="str">
            <v>Valor Mes</v>
          </cell>
          <cell r="J3" t="str">
            <v>Fecha Inicio1</v>
          </cell>
          <cell r="K3" t="str">
            <v>Fecha Fin1</v>
          </cell>
          <cell r="L3" t="str">
            <v>Fecha Inicio2</v>
          </cell>
          <cell r="M3" t="str">
            <v>Fecha Fin2</v>
          </cell>
          <cell r="N3" t="str">
            <v>No. Meses</v>
          </cell>
          <cell r="O3" t="str">
            <v>Valor Anual</v>
          </cell>
          <cell r="P3" t="str">
            <v>CC</v>
          </cell>
          <cell r="Q3" t="str">
            <v>POSIBLE CONTRATISTA</v>
          </cell>
          <cell r="R3" t="str">
            <v>Descripción (Objeto)</v>
          </cell>
        </row>
        <row r="4">
          <cell r="A4" t="str">
            <v>001</v>
          </cell>
          <cell r="B4" t="str">
            <v>RECTORÍA</v>
          </cell>
          <cell r="C4" t="str">
            <v>RECTORÍA</v>
          </cell>
          <cell r="D4" t="str">
            <v>CONSEJO SUPERIOR</v>
          </cell>
          <cell r="E4" t="str">
            <v>Logística Consejo Superior</v>
          </cell>
          <cell r="F4" t="str">
            <v>Logística</v>
          </cell>
          <cell r="G4" t="str">
            <v>OTRO</v>
          </cell>
          <cell r="I4">
            <v>4296450.3255449999</v>
          </cell>
          <cell r="J4">
            <v>45292</v>
          </cell>
          <cell r="K4">
            <v>45657</v>
          </cell>
          <cell r="N4">
            <v>12</v>
          </cell>
          <cell r="O4">
            <v>51557403.906539999</v>
          </cell>
          <cell r="Q4" t="str">
            <v>VARIOS</v>
          </cell>
          <cell r="R4" t="str">
            <v>Amparar el pago de honorarios a los miembros del Consejo Superior de la UPN para la Vigencia 2023</v>
          </cell>
        </row>
        <row r="5">
          <cell r="A5" t="str">
            <v>002</v>
          </cell>
          <cell r="B5" t="str">
            <v>RECTORÍA</v>
          </cell>
          <cell r="C5" t="str">
            <v>RECTORÍA</v>
          </cell>
          <cell r="D5" t="str">
            <v>DESPACHO RECTORÍA</v>
          </cell>
          <cell r="E5" t="str">
            <v>Servicios Profesionales</v>
          </cell>
          <cell r="F5" t="str">
            <v>CPS</v>
          </cell>
          <cell r="G5" t="str">
            <v>PROFESIONAL ESPECIALIZADO</v>
          </cell>
          <cell r="H5">
            <v>6</v>
          </cell>
          <cell r="I5">
            <v>6200000</v>
          </cell>
          <cell r="J5">
            <v>45327</v>
          </cell>
          <cell r="K5">
            <v>45646</v>
          </cell>
          <cell r="N5">
            <v>11</v>
          </cell>
          <cell r="O5">
            <v>68200000</v>
          </cell>
          <cell r="P5">
            <v>19457733</v>
          </cell>
          <cell r="Q5" t="str">
            <v>FABIO CASTRO BUENO</v>
          </cell>
          <cell r="R5" t="str">
            <v>Prestar los servicios profesionales para asesorar y acompañar a la Rectoría de la UPN en los asuntos de paz, participación y modificatorios de leyes relacionadas con educación y otros temas de interés para la Universidad</v>
          </cell>
        </row>
        <row r="6">
          <cell r="A6" t="str">
            <v>003</v>
          </cell>
          <cell r="B6" t="str">
            <v>RECTORÍA</v>
          </cell>
          <cell r="C6" t="str">
            <v>RECTORÍA</v>
          </cell>
          <cell r="D6" t="str">
            <v>DESPACHO RECTORÍA</v>
          </cell>
          <cell r="E6" t="str">
            <v>Consultoría</v>
          </cell>
          <cell r="F6" t="str">
            <v>CPS</v>
          </cell>
          <cell r="G6" t="str">
            <v>ASESOR</v>
          </cell>
          <cell r="H6">
            <v>3</v>
          </cell>
          <cell r="I6">
            <v>8000000</v>
          </cell>
          <cell r="J6">
            <v>45327</v>
          </cell>
          <cell r="K6">
            <v>45626</v>
          </cell>
          <cell r="N6">
            <v>10</v>
          </cell>
          <cell r="O6">
            <v>80000000</v>
          </cell>
          <cell r="Q6" t="str">
            <v>BLANCA JANETH GUZMAN GARZON</v>
          </cell>
          <cell r="R6" t="str">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v>
          </cell>
        </row>
        <row r="7">
          <cell r="A7" t="str">
            <v>004</v>
          </cell>
          <cell r="B7" t="str">
            <v>RECTORÍA</v>
          </cell>
          <cell r="C7" t="str">
            <v>RECTORÍA</v>
          </cell>
          <cell r="D7" t="str">
            <v>DESPACHO RECTORÍA</v>
          </cell>
          <cell r="E7" t="str">
            <v>Consultoría</v>
          </cell>
          <cell r="F7" t="str">
            <v>CPS</v>
          </cell>
          <cell r="G7" t="str">
            <v>ASESOR</v>
          </cell>
          <cell r="H7">
            <v>2</v>
          </cell>
          <cell r="I7">
            <v>7400000</v>
          </cell>
          <cell r="J7">
            <v>45327</v>
          </cell>
          <cell r="K7">
            <v>45626</v>
          </cell>
          <cell r="N7">
            <v>10</v>
          </cell>
          <cell r="O7">
            <v>74000000</v>
          </cell>
          <cell r="Q7" t="str">
            <v>RAMIRO</v>
          </cell>
          <cell r="R7" t="str">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v>
          </cell>
        </row>
        <row r="8">
          <cell r="A8" t="str">
            <v>005</v>
          </cell>
          <cell r="B8" t="str">
            <v>RECTORÍA</v>
          </cell>
          <cell r="C8" t="str">
            <v>RECTORÍA</v>
          </cell>
          <cell r="D8" t="str">
            <v>DESPACHO RECTORÍA</v>
          </cell>
          <cell r="E8" t="str">
            <v>Consultoría</v>
          </cell>
          <cell r="F8" t="str">
            <v>CPS</v>
          </cell>
          <cell r="G8" t="str">
            <v>ASESOR</v>
          </cell>
          <cell r="H8">
            <v>3</v>
          </cell>
          <cell r="I8">
            <v>8000000</v>
          </cell>
          <cell r="J8">
            <v>45327</v>
          </cell>
          <cell r="K8">
            <v>45626</v>
          </cell>
          <cell r="N8">
            <v>10</v>
          </cell>
          <cell r="O8">
            <v>80000000</v>
          </cell>
          <cell r="Q8" t="str">
            <v>ANGELA MARIA ROBLEDO</v>
          </cell>
          <cell r="R8" t="str">
            <v>Prestar servicios profesionales especializados al despacho de la rectoría de la Universidad Pedagógica Nacional para asesorar a la dirección de la universidad en la orientación de las políticas de transversalización de género y de la cultura de la paz</v>
          </cell>
        </row>
        <row r="9">
          <cell r="A9" t="str">
            <v>006</v>
          </cell>
          <cell r="B9" t="str">
            <v>RECTORÍA</v>
          </cell>
          <cell r="C9" t="str">
            <v>OFICINA DE COMUNICACIONES</v>
          </cell>
          <cell r="E9" t="str">
            <v>Servicios Profesionales</v>
          </cell>
          <cell r="F9" t="str">
            <v>CPS</v>
          </cell>
          <cell r="G9" t="str">
            <v>PROFESIONAL UNIVERSITARIO</v>
          </cell>
          <cell r="H9">
            <v>6</v>
          </cell>
          <cell r="I9">
            <v>4400000</v>
          </cell>
          <cell r="J9">
            <v>45334</v>
          </cell>
          <cell r="K9">
            <v>45639</v>
          </cell>
          <cell r="L9">
            <v>45327</v>
          </cell>
          <cell r="M9">
            <v>45639</v>
          </cell>
          <cell r="N9">
            <v>10</v>
          </cell>
          <cell r="O9">
            <v>44733333.333333328</v>
          </cell>
          <cell r="P9">
            <v>1023916277</v>
          </cell>
          <cell r="Q9" t="str">
            <v>MORENO RODRIGUEZ JOSE GREGORIO</v>
          </cell>
          <cell r="R9" t="str">
            <v>Prestar servicios profesionales  en el área tecnológica y de diseño con el fin de apoyar el desarrollo de plataformas, aplicaciones y otras necesidades online que se requieran para la UPN</v>
          </cell>
        </row>
        <row r="10">
          <cell r="A10" t="str">
            <v>007</v>
          </cell>
          <cell r="B10" t="str">
            <v>RECTORÍA</v>
          </cell>
          <cell r="C10" t="str">
            <v xml:space="preserve">SECRETARÍA GENERAL </v>
          </cell>
          <cell r="E10" t="str">
            <v>Servicios Asistenciales</v>
          </cell>
          <cell r="F10" t="str">
            <v>CPS</v>
          </cell>
          <cell r="G10" t="str">
            <v>ASISTENCIAL</v>
          </cell>
          <cell r="H10">
            <v>5</v>
          </cell>
          <cell r="I10">
            <v>2100000</v>
          </cell>
          <cell r="J10">
            <v>45323</v>
          </cell>
          <cell r="K10">
            <v>45646</v>
          </cell>
          <cell r="N10">
            <v>11</v>
          </cell>
          <cell r="O10">
            <v>22610000</v>
          </cell>
          <cell r="P10">
            <v>80177915</v>
          </cell>
          <cell r="Q10" t="str">
            <v>RODRIGO ROJAS PARDO</v>
          </cell>
          <cell r="R10" t="str">
            <v>Prestar servicios profesionales para la transcripción y redacción de actas y documentos del Consejo Superior y el Consejo Académico.</v>
          </cell>
        </row>
        <row r="11">
          <cell r="A11" t="str">
            <v>008</v>
          </cell>
          <cell r="B11" t="str">
            <v>RECTORÍA</v>
          </cell>
          <cell r="C11" t="str">
            <v>OFICINA DE CONTROL INTERNO</v>
          </cell>
          <cell r="E11" t="str">
            <v>Servicios Profesionales</v>
          </cell>
          <cell r="F11" t="str">
            <v>CPS</v>
          </cell>
          <cell r="G11" t="str">
            <v>PROFESIONAL ESPECIALIZADO</v>
          </cell>
          <cell r="H11">
            <v>4</v>
          </cell>
          <cell r="I11">
            <v>5700000</v>
          </cell>
          <cell r="J11">
            <v>45327</v>
          </cell>
          <cell r="K11">
            <v>45639</v>
          </cell>
          <cell r="M11">
            <v>45626</v>
          </cell>
          <cell r="N11">
            <v>10</v>
          </cell>
          <cell r="O11">
            <v>59280000</v>
          </cell>
          <cell r="P11">
            <v>1024463446</v>
          </cell>
          <cell r="Q11" t="str">
            <v>ANGELA ROCIO CALDERON AMADO</v>
          </cell>
          <cell r="R11" t="str">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v>
          </cell>
        </row>
        <row r="12">
          <cell r="A12" t="str">
            <v>009</v>
          </cell>
          <cell r="B12" t="str">
            <v>RECTORÍA</v>
          </cell>
          <cell r="C12" t="str">
            <v>OFICINA DE CONTROL INTERNO</v>
          </cell>
          <cell r="E12" t="str">
            <v>Servicios Profesionales</v>
          </cell>
          <cell r="F12" t="str">
            <v>CPS</v>
          </cell>
          <cell r="G12" t="str">
            <v>PROFESIONAL ESPECIALIZADO</v>
          </cell>
          <cell r="H12">
            <v>1</v>
          </cell>
          <cell r="I12">
            <v>4700000</v>
          </cell>
          <cell r="J12">
            <v>45327</v>
          </cell>
          <cell r="K12">
            <v>45639</v>
          </cell>
          <cell r="M12">
            <v>45626</v>
          </cell>
          <cell r="N12">
            <v>10</v>
          </cell>
          <cell r="O12">
            <v>48880000</v>
          </cell>
          <cell r="P12">
            <v>52890082</v>
          </cell>
          <cell r="Q12" t="str">
            <v>YANNETH MILENA GUACA ARIAS</v>
          </cell>
          <cell r="R12" t="str">
            <v>Prestar servicios profesionales para dar cumplimiento al Programa de Auditorías y Plan de Trabajo de la oficina de Control Interno, vigencia 2024, aprobado por el Comité Institucional de Coordinación de Control Interno.</v>
          </cell>
        </row>
        <row r="13">
          <cell r="A13" t="str">
            <v>010</v>
          </cell>
          <cell r="B13" t="str">
            <v>RECTORÍA</v>
          </cell>
          <cell r="C13" t="str">
            <v>OFICINA DE CONTROL INTERNO</v>
          </cell>
          <cell r="E13" t="str">
            <v>Servicios Profesionales</v>
          </cell>
          <cell r="F13" t="str">
            <v>CPS</v>
          </cell>
          <cell r="G13" t="str">
            <v>PROFESIONAL UNIVERSITARIO</v>
          </cell>
          <cell r="H13">
            <v>6</v>
          </cell>
          <cell r="I13">
            <v>4400000</v>
          </cell>
          <cell r="J13">
            <v>45327</v>
          </cell>
          <cell r="K13">
            <v>45639</v>
          </cell>
          <cell r="M13">
            <v>45626</v>
          </cell>
          <cell r="N13">
            <v>10</v>
          </cell>
          <cell r="O13">
            <v>45760000</v>
          </cell>
          <cell r="P13">
            <v>1032393280</v>
          </cell>
          <cell r="Q13" t="str">
            <v>LINA MARCELA RIVERA MORALES</v>
          </cell>
          <cell r="R13" t="str">
            <v>Prestar servicios profesionales  para dar cumplimiento al Programa de Auditorías y Plan de Trabajo vigencia 2024, aprobado por el Comité Institucional de Coordinación de Control Interno.</v>
          </cell>
        </row>
        <row r="14">
          <cell r="A14" t="str">
            <v>011</v>
          </cell>
          <cell r="B14" t="str">
            <v>RECTORÍA</v>
          </cell>
          <cell r="C14" t="str">
            <v xml:space="preserve">OFICINA JURÍDICA </v>
          </cell>
          <cell r="E14" t="str">
            <v>Servicios de Asesoría Jurídica</v>
          </cell>
          <cell r="F14" t="str">
            <v>Consultoría</v>
          </cell>
          <cell r="G14" t="str">
            <v>ASESOR</v>
          </cell>
          <cell r="H14">
            <v>6</v>
          </cell>
          <cell r="I14">
            <v>9800000</v>
          </cell>
          <cell r="J14">
            <v>45306</v>
          </cell>
          <cell r="K14">
            <v>45646</v>
          </cell>
          <cell r="L14">
            <v>45300</v>
          </cell>
          <cell r="M14">
            <v>45646</v>
          </cell>
          <cell r="N14">
            <v>11</v>
          </cell>
          <cell r="O14">
            <v>111066666.66666667</v>
          </cell>
          <cell r="P14">
            <v>52887262</v>
          </cell>
          <cell r="Q14" t="str">
            <v>MARTHA MIREYA PABON PÁEZ</v>
          </cell>
          <cell r="R14" t="str">
            <v>Prestar servicios especializados en  representación y defensa judicial, asesoría y emisión de conceptos en los procesos promovidos o en contra de la UPN.</v>
          </cell>
        </row>
        <row r="15">
          <cell r="A15" t="str">
            <v>012</v>
          </cell>
          <cell r="B15" t="str">
            <v>RECTORÍA</v>
          </cell>
          <cell r="C15" t="str">
            <v xml:space="preserve">OFICINA JURÍDICA </v>
          </cell>
          <cell r="E15" t="str">
            <v>Servicios Profesionales</v>
          </cell>
          <cell r="F15" t="str">
            <v>CPS</v>
          </cell>
          <cell r="G15" t="str">
            <v>PROFESIONAL ESPECIALIZADO</v>
          </cell>
          <cell r="H15">
            <v>4</v>
          </cell>
          <cell r="I15">
            <v>5700000</v>
          </cell>
          <cell r="J15">
            <v>45306</v>
          </cell>
          <cell r="K15">
            <v>45639</v>
          </cell>
          <cell r="L15">
            <v>45300</v>
          </cell>
          <cell r="M15">
            <v>45646</v>
          </cell>
          <cell r="N15">
            <v>11</v>
          </cell>
          <cell r="O15">
            <v>63270000</v>
          </cell>
          <cell r="P15">
            <v>1075257863</v>
          </cell>
          <cell r="Q15" t="str">
            <v>DIEGO FERNANDO MARIN MONJE</v>
          </cell>
          <cell r="R15" t="str">
            <v>Prestar servicios especializados de asesoría, acompañamiento y seguimiento de todas las actividades relacionadas con la gestión juridica que corresponden a la Oficina Jurídica de la UPN.</v>
          </cell>
        </row>
        <row r="16">
          <cell r="A16" t="str">
            <v>013</v>
          </cell>
          <cell r="B16" t="str">
            <v>RECTORÍA</v>
          </cell>
          <cell r="C16" t="str">
            <v xml:space="preserve">OFICINA DE DESARROLLO Y PLANEACIÓN </v>
          </cell>
          <cell r="E16" t="str">
            <v>Servicios Profesionales</v>
          </cell>
          <cell r="F16" t="str">
            <v>CPS</v>
          </cell>
          <cell r="G16" t="str">
            <v>PROFESIONAL ESPECIALIZADO</v>
          </cell>
          <cell r="H16">
            <v>4</v>
          </cell>
          <cell r="I16">
            <v>5700000</v>
          </cell>
          <cell r="J16">
            <v>45313</v>
          </cell>
          <cell r="K16">
            <v>45639</v>
          </cell>
          <cell r="N16">
            <v>11</v>
          </cell>
          <cell r="O16">
            <v>62700000</v>
          </cell>
          <cell r="P16">
            <v>52847314</v>
          </cell>
          <cell r="Q16" t="str">
            <v>MARÍA ANGELICA MARTINEZ VERGARA</v>
          </cell>
          <cell r="R16" t="str">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v>
          </cell>
        </row>
        <row r="17">
          <cell r="A17" t="str">
            <v>014</v>
          </cell>
          <cell r="B17" t="str">
            <v>RECTORÍA</v>
          </cell>
          <cell r="C17" t="str">
            <v xml:space="preserve">OFICINA DE DESARROLLO Y PLANEACIÓN </v>
          </cell>
          <cell r="E17" t="str">
            <v>Servicios Profesionales</v>
          </cell>
          <cell r="F17" t="str">
            <v>CPS</v>
          </cell>
          <cell r="G17" t="str">
            <v>PROFESIONAL ESPECIALIZADO</v>
          </cell>
          <cell r="H17">
            <v>4</v>
          </cell>
          <cell r="I17">
            <v>5700000</v>
          </cell>
          <cell r="J17">
            <v>45327</v>
          </cell>
          <cell r="K17">
            <v>45639</v>
          </cell>
          <cell r="N17">
            <v>10</v>
          </cell>
          <cell r="O17">
            <v>57000000</v>
          </cell>
          <cell r="P17">
            <v>79894957</v>
          </cell>
          <cell r="Q17" t="str">
            <v>ANDREY URIEL VERGARA SANCHEZ</v>
          </cell>
          <cell r="R17" t="str">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v>
          </cell>
        </row>
        <row r="18">
          <cell r="A18" t="str">
            <v>015</v>
          </cell>
          <cell r="B18" t="str">
            <v>RECTORÍA</v>
          </cell>
          <cell r="C18" t="str">
            <v xml:space="preserve">OFICINA DE DESARROLLO Y PLANEACIÓN </v>
          </cell>
          <cell r="E18" t="str">
            <v>Servicios Profesionales</v>
          </cell>
          <cell r="F18" t="str">
            <v>CPS</v>
          </cell>
          <cell r="G18" t="str">
            <v>PROFESIONAL ESPECIALIZADO</v>
          </cell>
          <cell r="H18">
            <v>1</v>
          </cell>
          <cell r="I18">
            <v>4700000</v>
          </cell>
          <cell r="J18">
            <v>45334</v>
          </cell>
          <cell r="K18">
            <v>45626</v>
          </cell>
          <cell r="N18">
            <v>10</v>
          </cell>
          <cell r="O18">
            <v>47000000</v>
          </cell>
          <cell r="P18">
            <v>1087992773</v>
          </cell>
          <cell r="Q18" t="str">
            <v>JULIAN ALEJANDRO PIEDRAHITA MONROY</v>
          </cell>
          <cell r="R18" t="str">
            <v>Prestar servicios profesionales  a la Oficina de Desarrollo y Planeación en el desarrollo de tableros informativos e informes reproducibles con la información financiera oficial y diagnóstico del boletín estadístico de la UPN</v>
          </cell>
        </row>
        <row r="19">
          <cell r="A19" t="str">
            <v>016</v>
          </cell>
          <cell r="B19" t="str">
            <v>RECTORÍA</v>
          </cell>
          <cell r="C19" t="str">
            <v xml:space="preserve">OFICINA DE DESARROLLO Y PLANEACIÓN </v>
          </cell>
          <cell r="E19" t="str">
            <v>Servicios Profesionales</v>
          </cell>
          <cell r="F19" t="str">
            <v>CPS</v>
          </cell>
          <cell r="G19" t="str">
            <v>PROFESIONAL ESPECIALIZADO</v>
          </cell>
          <cell r="H19">
            <v>4</v>
          </cell>
          <cell r="I19">
            <v>5700000</v>
          </cell>
          <cell r="J19">
            <v>45313</v>
          </cell>
          <cell r="K19">
            <v>45639</v>
          </cell>
          <cell r="N19">
            <v>11</v>
          </cell>
          <cell r="O19">
            <v>62700000</v>
          </cell>
          <cell r="Q19" t="str">
            <v>ANGUIE MILENA SANABRIA ARAGÓN</v>
          </cell>
          <cell r="R19" t="str">
            <v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v>
          </cell>
        </row>
        <row r="20">
          <cell r="A20" t="str">
            <v>017</v>
          </cell>
          <cell r="B20" t="str">
            <v>RECTORÍA</v>
          </cell>
          <cell r="C20" t="str">
            <v xml:space="preserve">OFICINA DE DESARROLLO Y PLANEACIÓN </v>
          </cell>
          <cell r="E20" t="str">
            <v>Servicios Profesionales</v>
          </cell>
          <cell r="F20" t="str">
            <v>CPS</v>
          </cell>
          <cell r="G20" t="str">
            <v>PROFESIONAL ESPECIALIZADO</v>
          </cell>
          <cell r="H20">
            <v>4</v>
          </cell>
          <cell r="I20">
            <v>5700000</v>
          </cell>
          <cell r="J20">
            <v>45306</v>
          </cell>
          <cell r="K20">
            <v>45639</v>
          </cell>
          <cell r="N20">
            <v>11</v>
          </cell>
          <cell r="O20">
            <v>62700000</v>
          </cell>
          <cell r="Q20" t="str">
            <v>SANDRA MILENA AZCARATE ZULUAGA</v>
          </cell>
          <cell r="R20" t="str">
            <v>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v>
          </cell>
        </row>
        <row r="21">
          <cell r="A21" t="str">
            <v>018</v>
          </cell>
          <cell r="B21" t="str">
            <v>RECTORÍA</v>
          </cell>
          <cell r="C21" t="str">
            <v xml:space="preserve">OFICINA DE DESARROLLO Y PLANEACIÓN </v>
          </cell>
          <cell r="E21" t="str">
            <v>Servicios Profesionales</v>
          </cell>
          <cell r="F21" t="str">
            <v>CPS</v>
          </cell>
          <cell r="G21" t="str">
            <v>PROFESIONAL ESPECIALIZADO</v>
          </cell>
          <cell r="H21">
            <v>4</v>
          </cell>
          <cell r="I21">
            <v>5700000</v>
          </cell>
          <cell r="J21">
            <v>45306</v>
          </cell>
          <cell r="K21">
            <v>45639</v>
          </cell>
          <cell r="N21">
            <v>11</v>
          </cell>
          <cell r="O21">
            <v>62700000</v>
          </cell>
          <cell r="Q21" t="str">
            <v xml:space="preserve">LUZ DARY URREGO PAEZ </v>
          </cell>
          <cell r="R21" t="str">
            <v>Prestar servicios profesionales a la Oficina de Desarrollo y Planeación  para apoyar la actualización de los proyectos de inversión con metodologías de marco lógico que permitan la gestión de recursos de diferentes fuentes.</v>
          </cell>
        </row>
        <row r="22">
          <cell r="A22" t="str">
            <v>019</v>
          </cell>
          <cell r="B22" t="str">
            <v>RECTORÍA</v>
          </cell>
          <cell r="C22" t="str">
            <v xml:space="preserve">OFICINA DE DESARROLLO Y PLANEACIÓN </v>
          </cell>
          <cell r="E22" t="str">
            <v>Servicios Profesionales</v>
          </cell>
          <cell r="F22" t="str">
            <v>CPS</v>
          </cell>
          <cell r="G22" t="str">
            <v>ASESOR</v>
          </cell>
          <cell r="H22">
            <v>5</v>
          </cell>
          <cell r="I22">
            <v>9200000</v>
          </cell>
          <cell r="J22">
            <v>45327</v>
          </cell>
          <cell r="K22">
            <v>45535</v>
          </cell>
          <cell r="N22">
            <v>7</v>
          </cell>
          <cell r="O22">
            <v>64400000</v>
          </cell>
          <cell r="Q22" t="str">
            <v>ANA JUVINAO</v>
          </cell>
          <cell r="R22" t="str">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v>
          </cell>
        </row>
        <row r="23">
          <cell r="A23" t="str">
            <v>020</v>
          </cell>
          <cell r="B23" t="str">
            <v>RECTORÍA</v>
          </cell>
          <cell r="C23" t="str">
            <v xml:space="preserve">OFICINA DE DESARROLLO Y PLANEACIÓN </v>
          </cell>
          <cell r="E23" t="str">
            <v>Servicios Profesionales</v>
          </cell>
          <cell r="F23" t="str">
            <v>CPS</v>
          </cell>
          <cell r="G23" t="str">
            <v>PROFESIONAL ESPECIALIZADO</v>
          </cell>
          <cell r="H23">
            <v>4</v>
          </cell>
          <cell r="I23">
            <v>5700000</v>
          </cell>
          <cell r="J23">
            <v>45313</v>
          </cell>
          <cell r="K23">
            <v>45639</v>
          </cell>
          <cell r="N23">
            <v>11</v>
          </cell>
          <cell r="O23">
            <v>62700000</v>
          </cell>
          <cell r="Q23" t="str">
            <v>MARIA ALEJANDRA JIMENEZ AMAYA</v>
          </cell>
          <cell r="R23" t="str">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v>
          </cell>
        </row>
        <row r="24">
          <cell r="A24" t="str">
            <v>021</v>
          </cell>
          <cell r="B24" t="str">
            <v>RECTORÍA</v>
          </cell>
          <cell r="C24" t="str">
            <v xml:space="preserve">OFICINA DE DESARROLLO Y PLANEACIÓN </v>
          </cell>
          <cell r="E24" t="str">
            <v>Servicios Profesionales</v>
          </cell>
          <cell r="F24" t="str">
            <v>CPS</v>
          </cell>
          <cell r="G24" t="str">
            <v>PROFESIONAL ESPECIALIZADO</v>
          </cell>
          <cell r="H24">
            <v>4</v>
          </cell>
          <cell r="I24">
            <v>5700000</v>
          </cell>
          <cell r="J24">
            <v>45327</v>
          </cell>
          <cell r="K24">
            <v>45639</v>
          </cell>
          <cell r="N24">
            <v>10</v>
          </cell>
          <cell r="O24">
            <v>57000000</v>
          </cell>
          <cell r="P24">
            <v>52080684</v>
          </cell>
          <cell r="Q24" t="str">
            <v>ARIAS BECERRA MARTHA LILIANA</v>
          </cell>
          <cell r="R24" t="str">
            <v>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v>
          </cell>
        </row>
        <row r="25">
          <cell r="A25" t="str">
            <v>022</v>
          </cell>
          <cell r="B25" t="str">
            <v>RECTORÍA</v>
          </cell>
          <cell r="C25" t="str">
            <v xml:space="preserve">OFICINA DE DESARROLLO Y PLANEACIÓN </v>
          </cell>
          <cell r="E25" t="str">
            <v>Servicios Profesionales</v>
          </cell>
          <cell r="F25" t="str">
            <v>CPS</v>
          </cell>
          <cell r="G25" t="str">
            <v>PROFESIONAL ESPECIALIZADO</v>
          </cell>
          <cell r="H25">
            <v>3</v>
          </cell>
          <cell r="I25">
            <v>5350000</v>
          </cell>
          <cell r="J25">
            <v>45334</v>
          </cell>
          <cell r="K25">
            <v>45626</v>
          </cell>
          <cell r="N25">
            <v>10</v>
          </cell>
          <cell r="O25">
            <v>52073333.333333328</v>
          </cell>
          <cell r="Q25" t="str">
            <v>XX</v>
          </cell>
          <cell r="R25" t="str">
            <v>Prestar servicios profesionales de apoyo y asistencia técnica a la Oficina de Desarrollo y Planeación para gestión de herramientas que faciliten la sistematización y analisis de la información oficial de la Universidad</v>
          </cell>
        </row>
        <row r="26">
          <cell r="A26" t="str">
            <v>023</v>
          </cell>
          <cell r="B26" t="str">
            <v>RECTORÍA</v>
          </cell>
          <cell r="C26" t="str">
            <v xml:space="preserve">OFICINA DE DESARROLLO Y PLANEACIÓN </v>
          </cell>
          <cell r="E26" t="str">
            <v>Servicios Profesionales</v>
          </cell>
          <cell r="F26" t="str">
            <v>CPS</v>
          </cell>
          <cell r="G26" t="str">
            <v>PROFESIONAL ESPECIALIZADO</v>
          </cell>
          <cell r="H26">
            <v>2</v>
          </cell>
          <cell r="I26">
            <v>5000000</v>
          </cell>
          <cell r="J26">
            <v>45334</v>
          </cell>
          <cell r="K26">
            <v>45626</v>
          </cell>
          <cell r="N26">
            <v>10</v>
          </cell>
          <cell r="O26">
            <v>48666666.666666664</v>
          </cell>
          <cell r="Q26" t="str">
            <v>XX</v>
          </cell>
          <cell r="R26" t="str">
            <v>Prestar servicios profesionales de apoyo a la ODP en el desarrollo de heramientas que consoliden los procesos de autoevaluacion institucional y de los programas academicos</v>
          </cell>
        </row>
        <row r="27">
          <cell r="A27" t="str">
            <v>024</v>
          </cell>
          <cell r="B27" t="str">
            <v>RECTORÍA</v>
          </cell>
          <cell r="C27" t="str">
            <v xml:space="preserve">OFICINA DE DESARROLLO Y PLANEACIÓN </v>
          </cell>
          <cell r="F27" t="str">
            <v>Consultoría</v>
          </cell>
          <cell r="G27" t="str">
            <v>OTRO</v>
          </cell>
          <cell r="I27">
            <v>3610912.2</v>
          </cell>
          <cell r="J27">
            <v>45327</v>
          </cell>
          <cell r="K27">
            <v>45646</v>
          </cell>
          <cell r="N27">
            <v>11</v>
          </cell>
          <cell r="O27">
            <v>39720034.200000003</v>
          </cell>
          <cell r="Q27" t="str">
            <v>BRC</v>
          </cell>
          <cell r="R27" t="str">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v>
          </cell>
        </row>
        <row r="28">
          <cell r="A28" t="str">
            <v>025</v>
          </cell>
          <cell r="B28" t="str">
            <v>RECTORÍA</v>
          </cell>
          <cell r="C28" t="str">
            <v xml:space="preserve">OFICINA DE DESARROLLO Y PLANEACIÓN </v>
          </cell>
          <cell r="F28" t="str">
            <v>Consultoría</v>
          </cell>
          <cell r="G28" t="str">
            <v>OTRO</v>
          </cell>
          <cell r="I28">
            <v>1599894.0902783999</v>
          </cell>
          <cell r="J28">
            <v>45327</v>
          </cell>
          <cell r="K28">
            <v>45646</v>
          </cell>
          <cell r="N28">
            <v>11</v>
          </cell>
          <cell r="O28">
            <v>17598834.993062399</v>
          </cell>
          <cell r="Q28" t="str">
            <v>ICONTEC</v>
          </cell>
          <cell r="R28" t="str">
            <v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v>
          </cell>
        </row>
        <row r="29">
          <cell r="A29" t="str">
            <v>026</v>
          </cell>
          <cell r="B29" t="str">
            <v>RECTORÍA</v>
          </cell>
          <cell r="C29" t="str">
            <v>ORI</v>
          </cell>
          <cell r="E29" t="str">
            <v>Servicios Profesionales</v>
          </cell>
          <cell r="F29" t="str">
            <v>CPS</v>
          </cell>
          <cell r="G29" t="str">
            <v>PROFESIONAL ESPECIALIZADO</v>
          </cell>
          <cell r="H29">
            <v>4</v>
          </cell>
          <cell r="I29">
            <v>5700000</v>
          </cell>
          <cell r="J29">
            <v>45334</v>
          </cell>
          <cell r="K29">
            <v>45639</v>
          </cell>
          <cell r="N29">
            <v>10</v>
          </cell>
          <cell r="O29">
            <v>57950000</v>
          </cell>
          <cell r="R29" t="str">
            <v xml:space="preserve">Prestar servicios profesionales especializados en la ORI, para adelantar con las facultades proyectos de aprendizaje colaborativo internacional en línea (procesos de internacionalización en casa, mediados por la tecnología) </v>
          </cell>
        </row>
        <row r="30">
          <cell r="A30" t="str">
            <v>027</v>
          </cell>
          <cell r="B30" t="str">
            <v>RECTORÍA</v>
          </cell>
          <cell r="C30" t="str">
            <v>ASEGURAMIENTO DE LA CALIDAD</v>
          </cell>
          <cell r="E30" t="str">
            <v>Servicios Profesionales</v>
          </cell>
          <cell r="F30" t="str">
            <v>CPS</v>
          </cell>
          <cell r="G30" t="str">
            <v>PROFESIONAL UNIVERSITARIO</v>
          </cell>
          <cell r="H30">
            <v>6</v>
          </cell>
          <cell r="I30">
            <v>4400000</v>
          </cell>
          <cell r="J30">
            <v>45327</v>
          </cell>
          <cell r="K30">
            <v>45646</v>
          </cell>
          <cell r="N30">
            <v>11</v>
          </cell>
          <cell r="O30">
            <v>46786666.666666664</v>
          </cell>
          <cell r="P30">
            <v>52312543</v>
          </cell>
          <cell r="Q30" t="str">
            <v>KARIN LUCERO QUIÑONES MALAVER</v>
          </cell>
          <cell r="R30" t="str">
            <v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v>
          </cell>
        </row>
        <row r="31">
          <cell r="A31" t="str">
            <v>111</v>
          </cell>
          <cell r="B31" t="str">
            <v>RECTORÍA</v>
          </cell>
          <cell r="C31" t="str">
            <v>OFICINA DE COMUNICACIONES</v>
          </cell>
          <cell r="E31" t="str">
            <v>Servicios Profesionales</v>
          </cell>
          <cell r="F31" t="str">
            <v>CPS</v>
          </cell>
          <cell r="G31" t="str">
            <v>PROFESIONAL UNIVERSITARIO</v>
          </cell>
          <cell r="H31">
            <v>4</v>
          </cell>
          <cell r="I31">
            <v>3900000</v>
          </cell>
          <cell r="J31">
            <v>45327</v>
          </cell>
          <cell r="K31">
            <v>45639</v>
          </cell>
          <cell r="L31">
            <v>45334</v>
          </cell>
          <cell r="M31">
            <v>45639</v>
          </cell>
          <cell r="N31">
            <v>10</v>
          </cell>
          <cell r="O31">
            <v>40560000</v>
          </cell>
          <cell r="Q31" t="str">
            <v>JULIETH ALEJANDRA VILLALOBOS LEON</v>
          </cell>
          <cell r="R31" t="str">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v>
          </cell>
        </row>
        <row r="32">
          <cell r="A32" t="str">
            <v>028</v>
          </cell>
          <cell r="B32" t="str">
            <v xml:space="preserve">VICERRECTORÍA ACADÉMICA </v>
          </cell>
          <cell r="C32" t="str">
            <v>DESPACHO VAC</v>
          </cell>
          <cell r="E32" t="str">
            <v>Servicios Profesionales</v>
          </cell>
          <cell r="F32" t="str">
            <v>CPS</v>
          </cell>
          <cell r="G32" t="str">
            <v>PROFESIONAL UNIVERSITARIO</v>
          </cell>
          <cell r="H32">
            <v>6</v>
          </cell>
          <cell r="I32">
            <v>4400000</v>
          </cell>
          <cell r="J32">
            <v>45327</v>
          </cell>
          <cell r="K32">
            <v>45626</v>
          </cell>
          <cell r="N32">
            <v>10</v>
          </cell>
          <cell r="O32">
            <v>43853333.333333336</v>
          </cell>
          <cell r="P32">
            <v>1022374467</v>
          </cell>
          <cell r="Q32" t="str">
            <v>ANA CECILIA ESCOBAR RAMÍREZ</v>
          </cell>
          <cell r="R32" t="str">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v>
          </cell>
        </row>
        <row r="33">
          <cell r="A33" t="str">
            <v>029</v>
          </cell>
          <cell r="B33" t="str">
            <v xml:space="preserve">VICERRECTORÍA ACADÉMICA </v>
          </cell>
          <cell r="C33" t="str">
            <v>DESPACHO VAC</v>
          </cell>
          <cell r="E33" t="str">
            <v>Servicios Profesionales</v>
          </cell>
          <cell r="F33" t="str">
            <v>CPS</v>
          </cell>
          <cell r="G33" t="str">
            <v>PROFESIONAL ESPECIALIZADO</v>
          </cell>
          <cell r="H33">
            <v>4</v>
          </cell>
          <cell r="I33">
            <v>5700000</v>
          </cell>
          <cell r="J33">
            <v>45327</v>
          </cell>
          <cell r="K33">
            <v>45639</v>
          </cell>
          <cell r="N33">
            <v>10</v>
          </cell>
          <cell r="O33">
            <v>59280000</v>
          </cell>
          <cell r="P33">
            <v>21066255</v>
          </cell>
          <cell r="Q33" t="str">
            <v>MARIA DEL PILAR UNDA BERNAL</v>
          </cell>
          <cell r="R33" t="str">
            <v>Prestar el servicio profesional para asesorar a la Vicerrectoría Académica en la elaboración de propuestas asociadas al PEI, en la línea de construcción de comunidades de saber pedagógico en articulación con otros saberes.</v>
          </cell>
        </row>
        <row r="34">
          <cell r="A34" t="str">
            <v>030</v>
          </cell>
          <cell r="B34" t="str">
            <v xml:space="preserve">VICERRECTORÍA ACADÉMICA </v>
          </cell>
          <cell r="C34" t="str">
            <v>DESPACHO VAC</v>
          </cell>
          <cell r="D34" t="str">
            <v>EMISORA</v>
          </cell>
          <cell r="E34" t="str">
            <v>Servicios Profesionales</v>
          </cell>
          <cell r="F34" t="str">
            <v>CPS</v>
          </cell>
          <cell r="G34" t="str">
            <v>PROFESIONAL UNIVERSITARIO</v>
          </cell>
          <cell r="H34">
            <v>6</v>
          </cell>
          <cell r="I34">
            <v>4400000</v>
          </cell>
          <cell r="J34">
            <v>45327</v>
          </cell>
          <cell r="K34">
            <v>45632</v>
          </cell>
          <cell r="L34">
            <v>44956</v>
          </cell>
          <cell r="N34">
            <v>10</v>
          </cell>
          <cell r="O34">
            <v>44733333.333333328</v>
          </cell>
          <cell r="P34">
            <v>1020734290</v>
          </cell>
          <cell r="Q34" t="str">
            <v>LAURA ALEXANDRA CHAVEZ ROJAS</v>
          </cell>
          <cell r="R34" t="str">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v>
          </cell>
        </row>
        <row r="35">
          <cell r="A35" t="str">
            <v>031</v>
          </cell>
          <cell r="B35" t="str">
            <v xml:space="preserve">VICERRECTORÍA ACADÉMICA </v>
          </cell>
          <cell r="C35" t="str">
            <v>DESPACHO VAC</v>
          </cell>
          <cell r="D35" t="str">
            <v>EMISORA</v>
          </cell>
          <cell r="E35" t="str">
            <v>Servicios Profesionales</v>
          </cell>
          <cell r="F35" t="str">
            <v>CPS</v>
          </cell>
          <cell r="G35" t="str">
            <v>PROFESIONAL UNIVERSITARIO</v>
          </cell>
          <cell r="H35">
            <v>6</v>
          </cell>
          <cell r="I35">
            <v>4400000</v>
          </cell>
          <cell r="J35">
            <v>45327</v>
          </cell>
          <cell r="K35">
            <v>45632</v>
          </cell>
          <cell r="N35">
            <v>10</v>
          </cell>
          <cell r="O35">
            <v>44733333.333333328</v>
          </cell>
          <cell r="P35">
            <v>1032465025</v>
          </cell>
          <cell r="Q35" t="str">
            <v>NN</v>
          </cell>
          <cell r="R35" t="str">
            <v xml:space="preserve">Prestar servicios profesionales para desarrollar contenidos radiales y apoyar las distintas fases del proceso de producción radial junto con la locución y realización de entrevistas, cubrimientos, actividades y selección musical. </v>
          </cell>
        </row>
        <row r="36">
          <cell r="A36" t="str">
            <v>032</v>
          </cell>
          <cell r="B36" t="str">
            <v xml:space="preserve">VICERRECTORÍA ACADÉMICA </v>
          </cell>
          <cell r="C36" t="str">
            <v>DESPACHO VAC</v>
          </cell>
          <cell r="D36" t="str">
            <v>EMISORA</v>
          </cell>
          <cell r="E36" t="str">
            <v>Servicios Profesionales</v>
          </cell>
          <cell r="F36" t="str">
            <v>CPS</v>
          </cell>
          <cell r="G36" t="str">
            <v>PROFESIONAL UNIVERSITARIO</v>
          </cell>
          <cell r="H36">
            <v>6</v>
          </cell>
          <cell r="I36">
            <v>4400000</v>
          </cell>
          <cell r="J36">
            <v>45327</v>
          </cell>
          <cell r="K36">
            <v>45632</v>
          </cell>
          <cell r="L36">
            <v>44956</v>
          </cell>
          <cell r="M36">
            <v>45273</v>
          </cell>
          <cell r="N36">
            <v>10</v>
          </cell>
          <cell r="O36">
            <v>44733333.333333328</v>
          </cell>
          <cell r="P36">
            <v>1017175193</v>
          </cell>
          <cell r="Q36" t="str">
            <v>MARIO ALFONSO HENRÍQUEZ ROMERO</v>
          </cell>
          <cell r="R36" t="str">
            <v>Prestar servicios profesionales para manejar diferentes herramientas de grabación, producción, transmisión y edición de audio para proyectos, contenidos audiovisuales de la emisora y actividades dentro y fuera de estudio, al igual que programar los contenidos.</v>
          </cell>
        </row>
        <row r="37">
          <cell r="A37" t="str">
            <v>033</v>
          </cell>
          <cell r="B37" t="str">
            <v xml:space="preserve">VICERRECTORÍA ACADÉMICA </v>
          </cell>
          <cell r="C37" t="str">
            <v>DESPACHO VAC</v>
          </cell>
          <cell r="E37" t="str">
            <v>Servicios Técnicos</v>
          </cell>
          <cell r="F37" t="str">
            <v>CPS</v>
          </cell>
          <cell r="G37" t="str">
            <v>TÉCNICO</v>
          </cell>
          <cell r="H37">
            <v>1</v>
          </cell>
          <cell r="I37">
            <v>2300000</v>
          </cell>
          <cell r="J37">
            <v>45327</v>
          </cell>
          <cell r="K37">
            <v>45641</v>
          </cell>
          <cell r="N37">
            <v>10</v>
          </cell>
          <cell r="O37">
            <v>24073333.333333332</v>
          </cell>
          <cell r="R37" t="str">
            <v>Prestar servicios profesionales para liderar y orientar los procesos derivados del Sistema de Gestión Integral de la Calidad en la Vicerrectoría Académica y demás dependencias adscritas.</v>
          </cell>
        </row>
        <row r="38">
          <cell r="A38" t="str">
            <v>034</v>
          </cell>
          <cell r="B38" t="str">
            <v xml:space="preserve">VICERRECTORÍA ACADÉMICA </v>
          </cell>
          <cell r="C38" t="str">
            <v>DESPACHO VAC</v>
          </cell>
          <cell r="E38" t="str">
            <v>Evaluadores - Conferencistas</v>
          </cell>
          <cell r="F38" t="str">
            <v>Consultoría</v>
          </cell>
          <cell r="G38" t="str">
            <v>OTRO</v>
          </cell>
          <cell r="I38">
            <v>3876420.45</v>
          </cell>
          <cell r="J38">
            <v>45313</v>
          </cell>
          <cell r="K38">
            <v>45639</v>
          </cell>
          <cell r="L38">
            <v>45327</v>
          </cell>
          <cell r="N38">
            <v>11</v>
          </cell>
          <cell r="O38">
            <v>42640624.950000003</v>
          </cell>
          <cell r="Q38" t="str">
            <v>Varios</v>
          </cell>
          <cell r="R38" t="str">
            <v>Garantizar el reconocimiento económico a evaluadores, talleristas o conferencistas, requeridos por las diferentes Facultades a traves de los programas academicos y demás Grupos de Trabajo, en el marco de las  actividades previstas por la Vicerrectoria Académica</v>
          </cell>
        </row>
        <row r="39">
          <cell r="A39" t="str">
            <v>035</v>
          </cell>
          <cell r="B39" t="str">
            <v xml:space="preserve">VICERRECTORÍA ACADÉMICA </v>
          </cell>
          <cell r="C39" t="str">
            <v>SUBDIRECCIÓN DE ADMISIONES Y REGISTRO</v>
          </cell>
          <cell r="E39" t="str">
            <v>Servicios Profesionales</v>
          </cell>
          <cell r="F39" t="str">
            <v>CPS</v>
          </cell>
          <cell r="G39" t="str">
            <v>PROFESIONAL ESPECIALIZADO</v>
          </cell>
          <cell r="H39">
            <v>1</v>
          </cell>
          <cell r="I39">
            <v>4700000</v>
          </cell>
          <cell r="J39">
            <v>45327</v>
          </cell>
          <cell r="K39">
            <v>45639</v>
          </cell>
          <cell r="L39">
            <v>44941</v>
          </cell>
          <cell r="M39">
            <v>45280</v>
          </cell>
          <cell r="N39">
            <v>10</v>
          </cell>
          <cell r="O39">
            <v>48880000</v>
          </cell>
          <cell r="P39">
            <v>18001226</v>
          </cell>
          <cell r="Q39" t="str">
            <v>RENE GABRIEL CALDERON LUNG</v>
          </cell>
          <cell r="R39" t="str">
            <v>Liderar el proceso de implementación y puesta en marcha del nuevo sistema académico Class, para la Subdirección de Admisiones y Registro, considerando la transición y paralelo con los sistemas antiguos en los procesos y sus usuarios.</v>
          </cell>
        </row>
        <row r="40">
          <cell r="A40" t="str">
            <v>036</v>
          </cell>
          <cell r="B40" t="str">
            <v xml:space="preserve">VICERRECTORÍA ACADÉMICA </v>
          </cell>
          <cell r="C40" t="str">
            <v>SUBDIRECCIÓN DE ADMISIONES Y REGISTRO</v>
          </cell>
          <cell r="E40" t="str">
            <v>Servicios Profesionales</v>
          </cell>
          <cell r="F40" t="str">
            <v>CPS</v>
          </cell>
          <cell r="G40" t="str">
            <v>PROFESIONAL ESPECIALIZADO</v>
          </cell>
          <cell r="H40">
            <v>3</v>
          </cell>
          <cell r="I40">
            <v>5350000</v>
          </cell>
          <cell r="J40">
            <v>45327</v>
          </cell>
          <cell r="K40">
            <v>45639</v>
          </cell>
          <cell r="M40">
            <v>45280</v>
          </cell>
          <cell r="N40">
            <v>10</v>
          </cell>
          <cell r="O40">
            <v>55640000</v>
          </cell>
          <cell r="P40">
            <v>19370679</v>
          </cell>
          <cell r="Q40" t="str">
            <v>MAURICIO ANTONIO CASTILLO MELO</v>
          </cell>
          <cell r="R40" t="str">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v>
          </cell>
        </row>
        <row r="41">
          <cell r="A41" t="str">
            <v>037</v>
          </cell>
          <cell r="B41" t="str">
            <v xml:space="preserve">VICERRECTORÍA ACADÉMICA </v>
          </cell>
          <cell r="C41" t="str">
            <v>COMITÉ DE ASIGNACION Y RECONOCIMIENTO DE  PUNTAJE - CIARP</v>
          </cell>
          <cell r="E41" t="str">
            <v>Evaluadores - Conferencistas</v>
          </cell>
          <cell r="F41" t="str">
            <v>Consultoría</v>
          </cell>
          <cell r="G41" t="str">
            <v>OTRO</v>
          </cell>
          <cell r="I41">
            <v>4000499.0253571644</v>
          </cell>
          <cell r="J41">
            <v>45327</v>
          </cell>
          <cell r="K41">
            <v>45639</v>
          </cell>
          <cell r="N41">
            <v>10</v>
          </cell>
          <cell r="O41">
            <v>67680000</v>
          </cell>
          <cell r="Q41" t="str">
            <v>VARIOS</v>
          </cell>
          <cell r="R41" t="str">
            <v>Garantizar el reconocimiento económico a los evaluadores de la productividad académica presentada por los docentes de planta de la Universidad Pedagógica Nacional, susceptible de puntos salariales o ascensos de categoría.</v>
          </cell>
        </row>
        <row r="42">
          <cell r="A42" t="str">
            <v>038</v>
          </cell>
          <cell r="B42" t="str">
            <v xml:space="preserve">VICERRECTORÍA ACADÉMICA </v>
          </cell>
          <cell r="C42" t="str">
            <v>COMITÉ DE ASIGNACION Y RECONOCIMIENTO DE  PUNTAJE - CIARP</v>
          </cell>
          <cell r="E42" t="str">
            <v>Servicios Asistenciales</v>
          </cell>
          <cell r="F42" t="str">
            <v>CPS</v>
          </cell>
          <cell r="G42" t="str">
            <v>ASISTENCIAL</v>
          </cell>
          <cell r="H42">
            <v>5</v>
          </cell>
          <cell r="I42">
            <v>2100000</v>
          </cell>
          <cell r="J42">
            <v>45327</v>
          </cell>
          <cell r="K42">
            <v>45626</v>
          </cell>
          <cell r="N42">
            <v>10</v>
          </cell>
          <cell r="O42">
            <v>20930000</v>
          </cell>
          <cell r="R42" t="str">
            <v>Prestar servicios asistenciales  para la gestión de documentos de las historias académicas de los docentes, así como la demás gestión documental, de los procesos y procedimientos a cargo del grupo.</v>
          </cell>
        </row>
        <row r="43">
          <cell r="A43" t="str">
            <v>039</v>
          </cell>
          <cell r="B43" t="str">
            <v xml:space="preserve">VICERRECTORÍA ACADÉMICA </v>
          </cell>
          <cell r="C43" t="str">
            <v>DOCTORADO INTERINSTITUCIONAL EN EDUCACIÓN</v>
          </cell>
          <cell r="E43" t="str">
            <v>Evaluadores - Conferencistas</v>
          </cell>
          <cell r="F43" t="str">
            <v>Consultoría</v>
          </cell>
          <cell r="G43" t="str">
            <v>OTRO</v>
          </cell>
          <cell r="I43">
            <v>8074277.9356363639</v>
          </cell>
          <cell r="J43">
            <v>45313</v>
          </cell>
          <cell r="K43">
            <v>45632</v>
          </cell>
          <cell r="N43">
            <v>11</v>
          </cell>
          <cell r="O43">
            <v>88817057.291999996</v>
          </cell>
          <cell r="Q43" t="str">
            <v>VARIOS</v>
          </cell>
          <cell r="R43" t="str">
            <v>Garantizar el reconocimiento económico de los evaluadores de proyectos y tesis de doctorado y garantizar bonificaciones a expertos nacionales e internacionales, e invitados a seminarios doctorales.</v>
          </cell>
        </row>
        <row r="44">
          <cell r="A44" t="str">
            <v>040</v>
          </cell>
          <cell r="B44" t="str">
            <v xml:space="preserve">VICERRECTORÍA ACADÉMICA </v>
          </cell>
          <cell r="C44" t="str">
            <v>FACULTAD DE CIENCIA Y TECNOLOGÍA</v>
          </cell>
          <cell r="D44" t="str">
            <v>CINNDET</v>
          </cell>
          <cell r="E44" t="str">
            <v>Servicios Profesionales</v>
          </cell>
          <cell r="F44" t="str">
            <v>CPS</v>
          </cell>
          <cell r="G44" t="str">
            <v>PROFESIONAL UNIVERSITARIO</v>
          </cell>
          <cell r="H44">
            <v>6</v>
          </cell>
          <cell r="I44">
            <v>4400000</v>
          </cell>
          <cell r="J44">
            <v>45327</v>
          </cell>
          <cell r="K44">
            <v>45641</v>
          </cell>
          <cell r="N44">
            <v>10</v>
          </cell>
          <cell r="O44">
            <v>46053333.333333336</v>
          </cell>
          <cell r="P44">
            <v>1018461794</v>
          </cell>
          <cell r="Q44" t="str">
            <v>JOHANN MATEO SOLER LÓPEZ</v>
          </cell>
          <cell r="R44" t="str">
            <v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v>
          </cell>
        </row>
        <row r="45">
          <cell r="A45" t="str">
            <v>041</v>
          </cell>
          <cell r="B45" t="str">
            <v xml:space="preserve">VICERRECTORÍA ACADÉMICA </v>
          </cell>
          <cell r="C45" t="str">
            <v>FACULTAD DE CIENCIA Y TECNOLOGÍA</v>
          </cell>
          <cell r="D45" t="str">
            <v>CINNDET</v>
          </cell>
          <cell r="E45" t="str">
            <v>Servicios Profesionales</v>
          </cell>
          <cell r="F45" t="str">
            <v>CPS</v>
          </cell>
          <cell r="G45" t="str">
            <v>PROFESIONAL UNIVERSITARIO</v>
          </cell>
          <cell r="H45">
            <v>6</v>
          </cell>
          <cell r="I45">
            <v>4400000</v>
          </cell>
          <cell r="J45">
            <v>45327</v>
          </cell>
          <cell r="K45">
            <v>45641</v>
          </cell>
          <cell r="N45">
            <v>10</v>
          </cell>
          <cell r="O45">
            <v>46053333.333333336</v>
          </cell>
          <cell r="P45">
            <v>1109387206</v>
          </cell>
          <cell r="Q45" t="str">
            <v>ORTEGON MORENO JHONNY ALEXANDER</v>
          </cell>
          <cell r="R45" t="str">
            <v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v>
          </cell>
        </row>
        <row r="46">
          <cell r="A46" t="str">
            <v>042</v>
          </cell>
          <cell r="B46" t="str">
            <v xml:space="preserve">VICERRECTORÍA ACADÉMICA </v>
          </cell>
          <cell r="C46" t="str">
            <v>FACULTAD DE CIENCIA Y TECNOLOGÍA</v>
          </cell>
          <cell r="D46" t="str">
            <v>CINNDET</v>
          </cell>
          <cell r="E46" t="str">
            <v>Servicios Profesionales</v>
          </cell>
          <cell r="F46" t="str">
            <v>CPS</v>
          </cell>
          <cell r="G46" t="str">
            <v>PROFESIONAL UNIVERSITARIO</v>
          </cell>
          <cell r="H46">
            <v>6</v>
          </cell>
          <cell r="I46">
            <v>4400000</v>
          </cell>
          <cell r="J46">
            <v>45327</v>
          </cell>
          <cell r="K46">
            <v>45641</v>
          </cell>
          <cell r="N46">
            <v>10</v>
          </cell>
          <cell r="O46">
            <v>46053333.333333336</v>
          </cell>
          <cell r="P46">
            <v>1023963626</v>
          </cell>
          <cell r="Q46" t="str">
            <v>JEISSON ALEXANDER GAVILAN MURCIA</v>
          </cell>
          <cell r="R46" t="str">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v>
          </cell>
        </row>
        <row r="47">
          <cell r="A47" t="str">
            <v>043</v>
          </cell>
          <cell r="B47" t="str">
            <v xml:space="preserve">VICERRECTORÍA ACADÉMICA </v>
          </cell>
          <cell r="C47" t="str">
            <v>FACULTAD DE CIENCIA Y TECNOLOGÍA</v>
          </cell>
          <cell r="D47" t="str">
            <v>CINNDET</v>
          </cell>
          <cell r="E47" t="str">
            <v>Servicios Asistenciales</v>
          </cell>
          <cell r="F47" t="str">
            <v>CPS</v>
          </cell>
          <cell r="G47" t="str">
            <v>ASISTENCIAL</v>
          </cell>
          <cell r="H47">
            <v>5</v>
          </cell>
          <cell r="I47">
            <v>2100000</v>
          </cell>
          <cell r="J47">
            <v>45327</v>
          </cell>
          <cell r="K47">
            <v>45641</v>
          </cell>
          <cell r="N47">
            <v>10</v>
          </cell>
          <cell r="O47">
            <v>21980000</v>
          </cell>
          <cell r="P47">
            <v>1033762889</v>
          </cell>
          <cell r="Q47" t="str">
            <v>MAYCOL ALFONSO MURCIA SOSA</v>
          </cell>
          <cell r="R47" t="str">
            <v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v>
          </cell>
        </row>
        <row r="48">
          <cell r="A48" t="str">
            <v>087</v>
          </cell>
          <cell r="B48" t="str">
            <v xml:space="preserve">VICERRECTORÍA ACADÉMICA </v>
          </cell>
          <cell r="C48" t="str">
            <v xml:space="preserve">FACULTAD DE EDUCACIÓN FÍSICA </v>
          </cell>
          <cell r="D48" t="str">
            <v>FACULTAD</v>
          </cell>
          <cell r="E48" t="str">
            <v>Servicios Técnicos</v>
          </cell>
          <cell r="F48" t="str">
            <v>CPS</v>
          </cell>
          <cell r="G48" t="str">
            <v>TÉCNICO</v>
          </cell>
          <cell r="H48">
            <v>1</v>
          </cell>
          <cell r="I48">
            <v>2300000</v>
          </cell>
          <cell r="J48">
            <v>45327</v>
          </cell>
          <cell r="K48">
            <v>45639</v>
          </cell>
          <cell r="N48">
            <v>10</v>
          </cell>
          <cell r="O48">
            <v>23920000</v>
          </cell>
          <cell r="P48">
            <v>1077087302</v>
          </cell>
          <cell r="Q48" t="str">
            <v>GOMEZ PINZON DUMAR HALDAYR</v>
          </cell>
          <cell r="R48" t="str">
            <v>Prestar sus servicios personales para garantizar la atención en el servicio del gimnasio en Valmaria para los estudiantes y funcionarios de la institución durante las prácticas y entrenamientos</v>
          </cell>
        </row>
        <row r="49">
          <cell r="A49" t="str">
            <v>088</v>
          </cell>
          <cell r="B49" t="str">
            <v xml:space="preserve">VICERRECTORÍA ACADÉMICA </v>
          </cell>
          <cell r="C49" t="str">
            <v xml:space="preserve">FACULTAD DE EDUCACIÓN FÍSICA </v>
          </cell>
          <cell r="D49" t="str">
            <v>FACULTAD</v>
          </cell>
          <cell r="E49" t="str">
            <v>Servicios Técnicos</v>
          </cell>
          <cell r="F49" t="str">
            <v>CPS</v>
          </cell>
          <cell r="G49" t="str">
            <v>TÉCNICO</v>
          </cell>
          <cell r="H49">
            <v>1</v>
          </cell>
          <cell r="I49">
            <v>2300000</v>
          </cell>
          <cell r="J49">
            <v>45327</v>
          </cell>
          <cell r="K49">
            <v>45639</v>
          </cell>
          <cell r="N49">
            <v>10</v>
          </cell>
          <cell r="O49">
            <v>23920000</v>
          </cell>
          <cell r="P49">
            <v>79309771</v>
          </cell>
          <cell r="Q49" t="str">
            <v>JOSE JOAQUIN MARTINEZ AYALA</v>
          </cell>
          <cell r="R49" t="str">
            <v>Prestar sus servicios como salvavidas para garantizar la seguridad para los usuarios de la piscina, durante la jornada de la tarde</v>
          </cell>
        </row>
        <row r="50">
          <cell r="A50" t="str">
            <v>089</v>
          </cell>
          <cell r="B50" t="str">
            <v xml:space="preserve">VICERRECTORÍA ACADÉMICA </v>
          </cell>
          <cell r="C50" t="str">
            <v xml:space="preserve">FACULTAD DE EDUCACIÓN FÍSICA </v>
          </cell>
          <cell r="D50" t="str">
            <v>FACULTAD</v>
          </cell>
          <cell r="E50" t="str">
            <v>Servicios Técnicos</v>
          </cell>
          <cell r="F50" t="str">
            <v>CPS</v>
          </cell>
          <cell r="G50" t="str">
            <v>TÉCNICO</v>
          </cell>
          <cell r="H50">
            <v>1</v>
          </cell>
          <cell r="I50">
            <v>2300000</v>
          </cell>
          <cell r="J50">
            <v>45327</v>
          </cell>
          <cell r="K50">
            <v>45639</v>
          </cell>
          <cell r="N50">
            <v>10</v>
          </cell>
          <cell r="O50">
            <v>23920000</v>
          </cell>
          <cell r="P50">
            <v>1023901267</v>
          </cell>
          <cell r="Q50" t="str">
            <v>RAMIREZ RUIZ SONIA GISSEL</v>
          </cell>
          <cell r="R50" t="str">
            <v>Prestar sus servicios como salvavidas para garantizar la seguridad para los usuarios de la piscina, durante la jornada de la mañana</v>
          </cell>
        </row>
        <row r="51">
          <cell r="A51" t="str">
            <v>090</v>
          </cell>
          <cell r="B51" t="str">
            <v xml:space="preserve">VICERRECTORÍA ACADÉMICA </v>
          </cell>
          <cell r="C51" t="str">
            <v xml:space="preserve">FACULTAD DE EDUCACIÓN FÍSICA </v>
          </cell>
          <cell r="D51" t="str">
            <v>FACULTAD</v>
          </cell>
          <cell r="E51" t="str">
            <v>Servicios Técnicos</v>
          </cell>
          <cell r="F51" t="str">
            <v>CPS</v>
          </cell>
          <cell r="G51" t="str">
            <v>TÉCNICO</v>
          </cell>
          <cell r="H51">
            <v>1</v>
          </cell>
          <cell r="I51">
            <v>2300000</v>
          </cell>
          <cell r="J51">
            <v>45327</v>
          </cell>
          <cell r="K51">
            <v>45639</v>
          </cell>
          <cell r="N51">
            <v>10</v>
          </cell>
          <cell r="O51">
            <v>23920000</v>
          </cell>
          <cell r="P51">
            <v>1013650846</v>
          </cell>
          <cell r="Q51" t="str">
            <v>MONTOYA GARZON BRYAN ANDRES</v>
          </cell>
          <cell r="R51" t="str">
            <v>Prestar sus servicios personales para garantizar la atención en el servicio del gimnasio de la calle 72, con apoyo de las Tics y/o presencialmente cuando se requiera, en la jornada de la mañana para los estudiantes y funcionarios.</v>
          </cell>
        </row>
        <row r="52">
          <cell r="A52" t="str">
            <v>091</v>
          </cell>
          <cell r="B52" t="str">
            <v xml:space="preserve">VICERRECTORÍA ACADÉMICA </v>
          </cell>
          <cell r="C52" t="str">
            <v xml:space="preserve">FACULTAD DE EDUCACIÓN FÍSICA </v>
          </cell>
          <cell r="D52" t="str">
            <v>FACULTAD</v>
          </cell>
          <cell r="E52" t="str">
            <v>Servicios Técnicos</v>
          </cell>
          <cell r="F52" t="str">
            <v>CPS</v>
          </cell>
          <cell r="G52" t="str">
            <v>TÉCNICO</v>
          </cell>
          <cell r="H52">
            <v>1</v>
          </cell>
          <cell r="I52">
            <v>2300000</v>
          </cell>
          <cell r="J52">
            <v>45327</v>
          </cell>
          <cell r="K52">
            <v>45639</v>
          </cell>
          <cell r="N52">
            <v>10</v>
          </cell>
          <cell r="O52">
            <v>23920000</v>
          </cell>
          <cell r="P52">
            <v>53159448</v>
          </cell>
          <cell r="Q52" t="str">
            <v>MARIA FERNANDA VEGA AFRICANO</v>
          </cell>
          <cell r="R52" t="str">
            <v>Prestar sus servicios personales para garantizar la atención en el servicio del gimnasio de la calle 72, con apoyo de las Tics y/o presencialmente cuando se requiera, en la jornada de la tarde para los estudiantes y funcionarios.</v>
          </cell>
        </row>
        <row r="53">
          <cell r="A53" t="str">
            <v>092</v>
          </cell>
          <cell r="B53" t="str">
            <v xml:space="preserve">VICERRECTORÍA ACADÉMICA </v>
          </cell>
          <cell r="C53" t="str">
            <v>FACULTAD DE EDUCACIÓN</v>
          </cell>
          <cell r="D53" t="str">
            <v>DEPARTAMENTO DE PSICOPEDAGOGÍA</v>
          </cell>
          <cell r="E53" t="str">
            <v>Intérpretes - Traductores - Mediadores</v>
          </cell>
          <cell r="F53" t="str">
            <v>Consultoría</v>
          </cell>
          <cell r="G53" t="str">
            <v>OTRO</v>
          </cell>
          <cell r="I53">
            <v>2534959.6522222222</v>
          </cell>
          <cell r="J53">
            <v>45327</v>
          </cell>
          <cell r="K53">
            <v>45641</v>
          </cell>
          <cell r="N53">
            <v>10</v>
          </cell>
          <cell r="O53">
            <v>368237160</v>
          </cell>
          <cell r="Q53" t="str">
            <v>VARIOS</v>
          </cell>
          <cell r="R53" t="str">
            <v>Garantizar el reconocimiento económico a los  intérpretes de lengua de señas que acompañan a los estudiantes con limitación auditiva en los espacios académicos en los que participan.</v>
          </cell>
        </row>
        <row r="54">
          <cell r="A54" t="str">
            <v>093</v>
          </cell>
          <cell r="B54" t="str">
            <v xml:space="preserve">VICERRECTORÍA ACADÉMICA </v>
          </cell>
          <cell r="C54" t="str">
            <v>FACULTAD DE EDUCACIÓN</v>
          </cell>
          <cell r="D54" t="str">
            <v>DEPARTAMENTO DE PSICOPEDAGOGÍA</v>
          </cell>
          <cell r="E54" t="str">
            <v>Servicios Profesionales</v>
          </cell>
          <cell r="F54" t="str">
            <v>CPS</v>
          </cell>
          <cell r="G54" t="str">
            <v>PROFESIONAL UNIVERSITARIO</v>
          </cell>
          <cell r="H54">
            <v>4</v>
          </cell>
          <cell r="I54">
            <v>3900000</v>
          </cell>
          <cell r="J54">
            <v>45327</v>
          </cell>
          <cell r="K54">
            <v>45641</v>
          </cell>
          <cell r="N54">
            <v>10</v>
          </cell>
          <cell r="O54">
            <v>40820000</v>
          </cell>
          <cell r="P54">
            <v>89009341</v>
          </cell>
          <cell r="Q54" t="str">
            <v>ELBAN GERARDO ROA DÍAZ</v>
          </cell>
          <cell r="R54" t="str">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v>
          </cell>
        </row>
        <row r="55">
          <cell r="A55" t="str">
            <v>094</v>
          </cell>
          <cell r="B55" t="str">
            <v xml:space="preserve">VICERRECTORÍA ACADÉMICA </v>
          </cell>
          <cell r="C55" t="str">
            <v>FACULTAD DE CIENCIA Y TECNOLOGÍA</v>
          </cell>
          <cell r="D55" t="str">
            <v>DEPARTAMENTO DE QUÍMICA</v>
          </cell>
          <cell r="E55" t="str">
            <v>Servicios Profesionales</v>
          </cell>
          <cell r="F55" t="str">
            <v>CPS</v>
          </cell>
          <cell r="G55" t="str">
            <v>PROFESIONAL UNIVERSITARIO</v>
          </cell>
          <cell r="H55">
            <v>1</v>
          </cell>
          <cell r="I55">
            <v>3100000</v>
          </cell>
          <cell r="J55">
            <v>45327</v>
          </cell>
          <cell r="K55">
            <v>45634</v>
          </cell>
          <cell r="N55">
            <v>10</v>
          </cell>
          <cell r="O55">
            <v>31723333.333333332</v>
          </cell>
          <cell r="P55">
            <v>1022351168</v>
          </cell>
          <cell r="Q55" t="str">
            <v>LINA MARCELA SANCHEZ MEJIA</v>
          </cell>
          <cell r="R55" t="str">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v>
          </cell>
        </row>
        <row r="56">
          <cell r="A56" t="str">
            <v>044</v>
          </cell>
          <cell r="B56" t="str">
            <v>VICERRECTORÍA DE GESTIÓN UNIVERSITARIA</v>
          </cell>
          <cell r="C56" t="str">
            <v>GRUPO EDITORIAL</v>
          </cell>
          <cell r="E56" t="str">
            <v>Servicios Profesionales</v>
          </cell>
          <cell r="F56" t="str">
            <v>CPS</v>
          </cell>
          <cell r="G56" t="str">
            <v>PROFESIONAL UNIVERSITARIO</v>
          </cell>
          <cell r="H56">
            <v>3</v>
          </cell>
          <cell r="I56">
            <v>3600000</v>
          </cell>
          <cell r="J56">
            <v>45327</v>
          </cell>
          <cell r="K56">
            <v>45641</v>
          </cell>
          <cell r="N56">
            <v>10</v>
          </cell>
          <cell r="O56">
            <v>37680000</v>
          </cell>
          <cell r="P56">
            <v>1031140889</v>
          </cell>
          <cell r="Q56" t="str">
            <v>LOAIZA VILLALBA ANGELA MARIEL</v>
          </cell>
          <cell r="R56" t="str">
            <v xml:space="preserve">
Prestar servicios profesionales para el desarrollo de la edición y publicación de revistas y libros de la Universidad Pedagógica Nacional.</v>
          </cell>
        </row>
        <row r="57">
          <cell r="A57" t="str">
            <v>045</v>
          </cell>
          <cell r="B57" t="str">
            <v>VICERRECTORÍA DE GESTIÓN UNIVERSITARIA</v>
          </cell>
          <cell r="C57" t="str">
            <v>GRUPO EDITORIAL</v>
          </cell>
          <cell r="E57" t="str">
            <v>Servicios Profesionales</v>
          </cell>
          <cell r="F57" t="str">
            <v>CPS</v>
          </cell>
          <cell r="G57" t="str">
            <v>PROFESIONAL UNIVERSITARIO</v>
          </cell>
          <cell r="H57">
            <v>3</v>
          </cell>
          <cell r="I57">
            <v>3600000</v>
          </cell>
          <cell r="J57">
            <v>45327</v>
          </cell>
          <cell r="K57">
            <v>45641</v>
          </cell>
          <cell r="N57">
            <v>10</v>
          </cell>
          <cell r="O57">
            <v>37680000</v>
          </cell>
          <cell r="P57">
            <v>51974426</v>
          </cell>
          <cell r="Q57" t="str">
            <v>MARTHA JANNETH MENDEZ PEÑA</v>
          </cell>
          <cell r="R57" t="str">
            <v>Prestar servicios profesionales  para el desarrollo de las actividades del Grupo Interno de Trabajo Editorial en la corrección de estilo de los libros, revistas y materiales educativos de la Universidad Pedagógica Nacional.</v>
          </cell>
        </row>
        <row r="58">
          <cell r="A58" t="str">
            <v>046</v>
          </cell>
          <cell r="B58" t="str">
            <v>VICERRECTORÍA DE GESTIÓN UNIVERSITARIA</v>
          </cell>
          <cell r="C58" t="str">
            <v>GRUPO EDITORIAL</v>
          </cell>
          <cell r="E58" t="str">
            <v>Servicios Profesionales</v>
          </cell>
          <cell r="F58" t="str">
            <v>CPS</v>
          </cell>
          <cell r="G58" t="str">
            <v>PROFESIONAL UNIVERSITARIO</v>
          </cell>
          <cell r="H58">
            <v>1</v>
          </cell>
          <cell r="I58">
            <v>3100000</v>
          </cell>
          <cell r="J58">
            <v>45327</v>
          </cell>
          <cell r="K58">
            <v>45641</v>
          </cell>
          <cell r="N58">
            <v>10</v>
          </cell>
          <cell r="O58">
            <v>32446666.666666668</v>
          </cell>
          <cell r="P58">
            <v>1000950846</v>
          </cell>
          <cell r="Q58" t="str">
            <v>ANA MARIA ROBAYO SOLER</v>
          </cell>
          <cell r="R58" t="str">
            <v>Prestar servicios profesionales para los procesos de comunicación interna y externa de la producción editorial de la Universidad y gestión de las redes sociales y académicas de la editorial.</v>
          </cell>
        </row>
        <row r="59">
          <cell r="A59" t="str">
            <v>047</v>
          </cell>
          <cell r="B59" t="str">
            <v>VICERRECTORÍA DE GESTIÓN UNIVERSITARIA</v>
          </cell>
          <cell r="C59" t="str">
            <v>GRUPO EDITORIAL</v>
          </cell>
          <cell r="E59" t="str">
            <v>Servicios Profesionales</v>
          </cell>
          <cell r="F59" t="str">
            <v>CPS</v>
          </cell>
          <cell r="G59" t="str">
            <v>PROFESIONAL UNIVERSITARIO</v>
          </cell>
          <cell r="H59">
            <v>1</v>
          </cell>
          <cell r="I59">
            <v>3100000</v>
          </cell>
          <cell r="J59">
            <v>45327</v>
          </cell>
          <cell r="K59">
            <v>45641</v>
          </cell>
          <cell r="N59">
            <v>10</v>
          </cell>
          <cell r="O59">
            <v>32446666.666666668</v>
          </cell>
          <cell r="P59">
            <v>1019128363</v>
          </cell>
          <cell r="Q59" t="str">
            <v>MARIA ALEJANDRA URIBE CADENA</v>
          </cell>
          <cell r="R59" t="str">
            <v>Prestar servicios profesionales para el desarrollo de las actividades del Grupo Interno de Trabajo Editorial, en la edición y corrección de estilo de los libros y revistas de la Universidad Pedagógica Nacional</v>
          </cell>
        </row>
        <row r="60">
          <cell r="A60" t="str">
            <v>048</v>
          </cell>
          <cell r="B60" t="str">
            <v>VICERRECTORÍA DE GESTIÓN UNIVERSITARIA</v>
          </cell>
          <cell r="C60" t="str">
            <v>GRUPO EDITORIAL</v>
          </cell>
          <cell r="E60" t="str">
            <v>Servicios Profesionales</v>
          </cell>
          <cell r="F60" t="str">
            <v>CPS</v>
          </cell>
          <cell r="G60" t="str">
            <v>PROFESIONAL UNIVERSITARIO</v>
          </cell>
          <cell r="H60">
            <v>4</v>
          </cell>
          <cell r="I60">
            <v>3900000</v>
          </cell>
          <cell r="J60">
            <v>45327</v>
          </cell>
          <cell r="K60">
            <v>45641</v>
          </cell>
          <cell r="N60">
            <v>10</v>
          </cell>
          <cell r="O60">
            <v>40820000</v>
          </cell>
          <cell r="P60">
            <v>1032380730</v>
          </cell>
          <cell r="Q60" t="str">
            <v>PAULA ANDREA CUBILLOS GÓMEZ</v>
          </cell>
          <cell r="R60" t="str">
            <v>Prestar los servicios profesionales para el desarrollo de las actividades del Grupo Interno de Trabajo Editorial en los procesos de diagramación, diseño y finalización de las revistas de la Universidad Pedagógica Nacional.</v>
          </cell>
        </row>
        <row r="61">
          <cell r="A61" t="str">
            <v>049</v>
          </cell>
          <cell r="B61" t="str">
            <v>VICERRECTORÍA DE GESTIÓN UNIVERSITARIA</v>
          </cell>
          <cell r="C61" t="str">
            <v>GRUPO EDITORIAL</v>
          </cell>
          <cell r="E61" t="str">
            <v>Servicios Profesionales</v>
          </cell>
          <cell r="F61" t="str">
            <v>CPS</v>
          </cell>
          <cell r="G61" t="str">
            <v>PROFESIONAL ESPECIALIZADO</v>
          </cell>
          <cell r="H61">
            <v>1</v>
          </cell>
          <cell r="I61">
            <v>4700000</v>
          </cell>
          <cell r="J61">
            <v>45327</v>
          </cell>
          <cell r="K61">
            <v>45641</v>
          </cell>
          <cell r="N61">
            <v>10</v>
          </cell>
          <cell r="O61">
            <v>49193333.333333336</v>
          </cell>
          <cell r="P61">
            <v>7177488</v>
          </cell>
          <cell r="Q61" t="str">
            <v>WILLIAM EZEQUIEL CASTELBLANCO CARO</v>
          </cell>
          <cell r="R61" t="str">
            <v>Prestar servicios profesionales para la circulación y distribución de la producción editorial de la Universidad Pedagógica Nacional.</v>
          </cell>
        </row>
        <row r="62">
          <cell r="A62" t="str">
            <v>100</v>
          </cell>
          <cell r="B62" t="str">
            <v>VICERRECTORÍA DE GESTIÓN UNIVERSITARIA</v>
          </cell>
          <cell r="C62" t="str">
            <v>SUBDIRECCIÓN DE ASESORÍAS Y EXTENSIÓN</v>
          </cell>
          <cell r="E62" t="str">
            <v>Servicios Técnicos</v>
          </cell>
          <cell r="F62" t="str">
            <v>CPS</v>
          </cell>
          <cell r="G62" t="str">
            <v>TÉCNICO</v>
          </cell>
          <cell r="H62">
            <v>1</v>
          </cell>
          <cell r="I62">
            <v>2300000</v>
          </cell>
          <cell r="J62">
            <v>45327</v>
          </cell>
          <cell r="K62">
            <v>45634</v>
          </cell>
          <cell r="N62">
            <v>10</v>
          </cell>
          <cell r="O62">
            <v>23536666.666666664</v>
          </cell>
          <cell r="P62">
            <v>21018921</v>
          </cell>
          <cell r="Q62" t="str">
            <v>LADY CONSTANZA MONROY ROJAS</v>
          </cell>
          <cell r="R62" t="str">
            <v>Apoyar y realizar las actividades de la gestión documental del proceso de extensión llevado a cabo bajo las distintas modalidades, considerando las series históricas y las tablas de retención documental de la dependencia.</v>
          </cell>
        </row>
        <row r="63">
          <cell r="A63" t="str">
            <v>101</v>
          </cell>
          <cell r="B63" t="str">
            <v>VICERRECTORÍA DE GESTIÓN UNIVERSITARIA</v>
          </cell>
          <cell r="C63" t="str">
            <v>SUBDIRECCIÓN DE ASESORÍAS Y EXTENSIÓN</v>
          </cell>
          <cell r="E63" t="str">
            <v>Servicios Profesionales</v>
          </cell>
          <cell r="F63" t="str">
            <v>CPS</v>
          </cell>
          <cell r="G63" t="str">
            <v>PROFESIONAL ESPECIALIZADO</v>
          </cell>
          <cell r="H63">
            <v>6</v>
          </cell>
          <cell r="I63">
            <v>6200000</v>
          </cell>
          <cell r="J63">
            <v>45327</v>
          </cell>
          <cell r="K63">
            <v>45634</v>
          </cell>
          <cell r="N63">
            <v>10</v>
          </cell>
          <cell r="O63">
            <v>63446666.666666664</v>
          </cell>
          <cell r="P63">
            <v>49778517</v>
          </cell>
          <cell r="Q63" t="str">
            <v>OLGA BIBIANA BOLIVAR BAUTISTA</v>
          </cell>
          <cell r="R63" t="str">
            <v>Prestar los servicios para la formulación y seguimiento de proyectos articulando el componente académico para potenciar las alianzas con instancias Nacionales e Internacionales.</v>
          </cell>
        </row>
        <row r="64">
          <cell r="A64" t="str">
            <v>102</v>
          </cell>
          <cell r="B64" t="str">
            <v>VICERRECTORÍA DE GESTIÓN UNIVERSITARIA</v>
          </cell>
          <cell r="C64" t="str">
            <v>SUBDIRECCIÓN DE ASESORÍAS Y EXTENSIÓN</v>
          </cell>
          <cell r="E64" t="str">
            <v>Servicios Profesionales</v>
          </cell>
          <cell r="F64" t="str">
            <v>CPS</v>
          </cell>
          <cell r="G64" t="str">
            <v>PROFESIONAL ESPECIALIZADO</v>
          </cell>
          <cell r="H64">
            <v>3</v>
          </cell>
          <cell r="I64">
            <v>5350000</v>
          </cell>
          <cell r="J64">
            <v>45327</v>
          </cell>
          <cell r="K64">
            <v>45634</v>
          </cell>
          <cell r="N64">
            <v>10</v>
          </cell>
          <cell r="O64">
            <v>54748333.333333328</v>
          </cell>
          <cell r="P64">
            <v>52356564</v>
          </cell>
          <cell r="Q64" t="str">
            <v>JULIA LILIANA RÍOS HERRERA</v>
          </cell>
          <cell r="R64" t="str">
            <v>Prestar los servicios para la formulación y seguimiento de proyectos de extensión, articulando el componente académico para potenciar las alianzas con instancias Nacionales e Internacionales.</v>
          </cell>
        </row>
        <row r="65">
          <cell r="A65" t="str">
            <v>103</v>
          </cell>
          <cell r="B65" t="str">
            <v>VICERRECTORÍA DE GESTIÓN UNIVERSITARIA</v>
          </cell>
          <cell r="C65" t="str">
            <v>SUBDIRECCIÓN DE ASESORÍAS Y EXTENSIÓN</v>
          </cell>
          <cell r="E65" t="str">
            <v>Servicios Profesionales</v>
          </cell>
          <cell r="F65" t="str">
            <v>CPS</v>
          </cell>
          <cell r="G65" t="str">
            <v>PROFESIONAL ESPECIALIZADO</v>
          </cell>
          <cell r="H65">
            <v>3</v>
          </cell>
          <cell r="I65">
            <v>5350000</v>
          </cell>
          <cell r="J65">
            <v>45327</v>
          </cell>
          <cell r="K65">
            <v>45634</v>
          </cell>
          <cell r="N65">
            <v>10</v>
          </cell>
          <cell r="O65">
            <v>54748333.333333328</v>
          </cell>
          <cell r="P65">
            <v>52211167</v>
          </cell>
          <cell r="Q65" t="str">
            <v>GELVEZ RUIZ DIANA ELISA</v>
          </cell>
          <cell r="R65" t="str">
            <v>Prestar los servicios para la formulación y seguimiento de proyectos de asesorías y extensión, articulando el componente académico para potenciar las alianzas con instancias Nacionales e Internacionales.</v>
          </cell>
        </row>
        <row r="66">
          <cell r="A66" t="str">
            <v>104</v>
          </cell>
          <cell r="B66" t="str">
            <v>VICERRECTORÍA DE GESTIÓN UNIVERSITARIA</v>
          </cell>
          <cell r="C66" t="str">
            <v>CENTRO DE LENGUAS</v>
          </cell>
          <cell r="E66" t="str">
            <v>Servicios Profesionales</v>
          </cell>
          <cell r="F66" t="str">
            <v>CPS</v>
          </cell>
          <cell r="G66" t="str">
            <v>OTRO</v>
          </cell>
          <cell r="I66">
            <v>2065972.2222222222</v>
          </cell>
          <cell r="J66">
            <v>45327</v>
          </cell>
          <cell r="K66">
            <v>45626</v>
          </cell>
          <cell r="N66">
            <v>8</v>
          </cell>
          <cell r="O66">
            <v>1866812500</v>
          </cell>
          <cell r="Q66" t="str">
            <v>VARIOS</v>
          </cell>
          <cell r="R66" t="str">
            <v xml:space="preserve">Tutores </v>
          </cell>
        </row>
        <row r="67">
          <cell r="A67" t="str">
            <v>105</v>
          </cell>
          <cell r="B67" t="str">
            <v>VICERRECTORÍA DE GESTIÓN UNIVERSITARIA</v>
          </cell>
          <cell r="C67" t="str">
            <v xml:space="preserve">CENTRO DE LENGUAS </v>
          </cell>
          <cell r="E67" t="str">
            <v>Servicios Asistenciales</v>
          </cell>
          <cell r="F67" t="str">
            <v>CPS</v>
          </cell>
          <cell r="G67" t="str">
            <v>ASISTENCIAL</v>
          </cell>
          <cell r="H67">
            <v>1</v>
          </cell>
          <cell r="I67">
            <v>1650000</v>
          </cell>
          <cell r="J67">
            <v>45327</v>
          </cell>
          <cell r="K67">
            <v>45634</v>
          </cell>
          <cell r="N67">
            <v>10</v>
          </cell>
          <cell r="O67">
            <v>16885000</v>
          </cell>
          <cell r="R67" t="str">
            <v>Prestar servicios en el Centro de Lenguas realizando actividades propias de gestión documental, así como el apoyo a las demás actividades administrativas que le sean asignadas.</v>
          </cell>
        </row>
        <row r="68">
          <cell r="A68" t="str">
            <v>106</v>
          </cell>
          <cell r="B68" t="str">
            <v>VICERRECTORÍA DE GESTIÓN UNIVERSITARIA</v>
          </cell>
          <cell r="C68" t="str">
            <v xml:space="preserve">CENTRO DE LENGUAS </v>
          </cell>
          <cell r="E68" t="str">
            <v>Servicios Técnicos</v>
          </cell>
          <cell r="F68" t="str">
            <v>CPS</v>
          </cell>
          <cell r="G68" t="str">
            <v>OTRO</v>
          </cell>
          <cell r="I68">
            <v>753070.5</v>
          </cell>
          <cell r="J68">
            <v>45327</v>
          </cell>
          <cell r="K68">
            <v>45634</v>
          </cell>
          <cell r="N68">
            <v>10</v>
          </cell>
          <cell r="O68">
            <v>7706421.4499999993</v>
          </cell>
          <cell r="R68" t="str">
            <v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v>
          </cell>
        </row>
        <row r="69">
          <cell r="A69" t="str">
            <v>108</v>
          </cell>
          <cell r="B69" t="str">
            <v>VICERRECTORÍA DE GESTIÓN UNIVERSITARIA</v>
          </cell>
          <cell r="C69" t="str">
            <v>CENTRO DE EGRESADOS</v>
          </cell>
          <cell r="E69" t="str">
            <v>Servicios Profesionales</v>
          </cell>
          <cell r="F69" t="str">
            <v>CPS</v>
          </cell>
          <cell r="G69" t="str">
            <v>PROFESIONAL ESPECIALIZADO</v>
          </cell>
          <cell r="H69">
            <v>1</v>
          </cell>
          <cell r="I69">
            <v>4700000</v>
          </cell>
          <cell r="J69">
            <v>45327</v>
          </cell>
          <cell r="K69">
            <v>45626</v>
          </cell>
          <cell r="N69">
            <v>10</v>
          </cell>
          <cell r="O69">
            <v>46843333.333333336</v>
          </cell>
          <cell r="P69">
            <v>1026260280</v>
          </cell>
          <cell r="Q69" t="str">
            <v>JUAGIBIOY JUAGIBIOY ANGELA JULYET</v>
          </cell>
          <cell r="R69" t="str">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v>
          </cell>
        </row>
        <row r="70">
          <cell r="A70" t="str">
            <v>112</v>
          </cell>
          <cell r="B70" t="str">
            <v>VICERRECTORÍA DE GESTIÓN UNIVERSITARIA</v>
          </cell>
          <cell r="C70" t="str">
            <v xml:space="preserve">SUBDIRECCION DE GESTION DE PROYECTOS </v>
          </cell>
          <cell r="E70" t="str">
            <v>Servicios Profesionales</v>
          </cell>
          <cell r="F70" t="str">
            <v xml:space="preserve">CPS </v>
          </cell>
          <cell r="G70" t="str">
            <v>PROFESIONAL UNIVERSITARIO</v>
          </cell>
          <cell r="H70">
            <v>4</v>
          </cell>
          <cell r="I70">
            <v>3900000</v>
          </cell>
          <cell r="J70">
            <v>45327</v>
          </cell>
          <cell r="K70">
            <v>45626</v>
          </cell>
          <cell r="N70">
            <v>10</v>
          </cell>
          <cell r="O70">
            <v>38870000</v>
          </cell>
          <cell r="R70" t="str">
            <v>Prestar servicios profesionales para apoyar la consolidación, organización y análisis de la  información que aportará a los procesos de producción y generación de conocimiento del Observatorio Colombiano de Políticas Educativas y Profesión Docente OCPE – UPN.</v>
          </cell>
        </row>
        <row r="71">
          <cell r="A71" t="str">
            <v>114</v>
          </cell>
          <cell r="B71" t="str">
            <v>VICERRECTORÍA DE GESTIÓN UNIVERSITARIA</v>
          </cell>
          <cell r="C71" t="str">
            <v>CENTRO DE EGRESADOS</v>
          </cell>
          <cell r="F71" t="str">
            <v>Consultoría</v>
          </cell>
          <cell r="G71" t="str">
            <v>OTRO</v>
          </cell>
          <cell r="H71">
            <v>1</v>
          </cell>
          <cell r="I71">
            <v>1501500</v>
          </cell>
          <cell r="J71">
            <v>45327</v>
          </cell>
          <cell r="K71">
            <v>45648</v>
          </cell>
          <cell r="N71">
            <v>11</v>
          </cell>
          <cell r="O71">
            <v>16066049.999999998</v>
          </cell>
          <cell r="R71" t="str">
            <v>Prestar servicios profesionales para apoyar el proceso de verificación de hojas de vida de los egresados de la UPN</v>
          </cell>
        </row>
        <row r="72">
          <cell r="A72" t="str">
            <v>050</v>
          </cell>
          <cell r="B72" t="str">
            <v>VICERRECTORÍA ADMINISTRATIVA Y FINANCIERA</v>
          </cell>
          <cell r="C72" t="str">
            <v>DESPACHO VAD</v>
          </cell>
          <cell r="E72" t="str">
            <v>Servicios Profesionales</v>
          </cell>
          <cell r="F72" t="str">
            <v>CPS</v>
          </cell>
          <cell r="G72" t="str">
            <v>PROFESIONAL ESPECIALIZADO</v>
          </cell>
          <cell r="H72">
            <v>6</v>
          </cell>
          <cell r="I72">
            <v>6200000</v>
          </cell>
          <cell r="J72">
            <v>45327</v>
          </cell>
          <cell r="K72">
            <v>45653</v>
          </cell>
          <cell r="N72">
            <v>11</v>
          </cell>
          <cell r="O72">
            <v>67373333.333333343</v>
          </cell>
          <cell r="P72">
            <v>52209009</v>
          </cell>
          <cell r="Q72" t="str">
            <v>GINA JAIDIVE ORREGO PLAZA</v>
          </cell>
          <cell r="R72" t="str">
            <v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v>
          </cell>
        </row>
        <row r="73">
          <cell r="A73" t="str">
            <v>051</v>
          </cell>
          <cell r="B73" t="str">
            <v>VICERRECTORÍA ADMINISTRATIVA Y FINANCIERA</v>
          </cell>
          <cell r="C73" t="str">
            <v>SUBDIRECCIÓN FINANCIERA</v>
          </cell>
          <cell r="E73" t="str">
            <v>Servicios Profesionales</v>
          </cell>
          <cell r="F73" t="str">
            <v>CPS</v>
          </cell>
          <cell r="G73" t="str">
            <v>PROFESIONAL ESPECIALIZADO</v>
          </cell>
          <cell r="H73">
            <v>6</v>
          </cell>
          <cell r="I73">
            <v>6200000</v>
          </cell>
          <cell r="J73">
            <v>45306</v>
          </cell>
          <cell r="K73">
            <v>45639</v>
          </cell>
          <cell r="N73">
            <v>11</v>
          </cell>
          <cell r="O73">
            <v>68820000</v>
          </cell>
          <cell r="P73">
            <v>52374854</v>
          </cell>
          <cell r="Q73" t="str">
            <v>FANNY YOLANDA HERRERA MUNEVAR</v>
          </cell>
          <cell r="R73" t="str">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v>
          </cell>
        </row>
        <row r="74">
          <cell r="A74" t="str">
            <v>052</v>
          </cell>
          <cell r="B74" t="str">
            <v>VICERRECTORÍA ADMINISTRATIVA Y FINANCIERA</v>
          </cell>
          <cell r="C74" t="str">
            <v>DESPACHO VAD</v>
          </cell>
          <cell r="E74" t="str">
            <v>Servicios Profesionales</v>
          </cell>
          <cell r="F74" t="str">
            <v>CPS</v>
          </cell>
          <cell r="G74" t="str">
            <v>PROFESIONAL UNIVERSITARIO</v>
          </cell>
          <cell r="H74">
            <v>1</v>
          </cell>
          <cell r="I74">
            <v>3100000</v>
          </cell>
          <cell r="J74">
            <v>45313</v>
          </cell>
          <cell r="K74">
            <v>45639</v>
          </cell>
          <cell r="N74">
            <v>11</v>
          </cell>
          <cell r="O74">
            <v>33686666.666666672</v>
          </cell>
          <cell r="P74">
            <v>1018477121</v>
          </cell>
          <cell r="Q74" t="str">
            <v>JOHAN SEBASTIAN VILLAMIZAR MORENO</v>
          </cell>
          <cell r="R74" t="str">
            <v>Prestar los servicios profesionales para apoyar a la Vicerrectoría Administrativa y Financiera en la implementación y seguimiento del Sistema de Gestión Ambiental de la Universidad Pedagógica Nacional.</v>
          </cell>
        </row>
        <row r="75">
          <cell r="A75" t="str">
            <v>053</v>
          </cell>
          <cell r="B75" t="str">
            <v>VICERRECTORÍA ADMINISTRATIVA Y FINANCIERA</v>
          </cell>
          <cell r="C75" t="str">
            <v>SUBDIRECCIÓN DE PERSONAL</v>
          </cell>
          <cell r="E75" t="str">
            <v>Servicios Profesionales</v>
          </cell>
          <cell r="F75" t="str">
            <v>CPS</v>
          </cell>
          <cell r="G75" t="str">
            <v>PROFESIONAL UNIVERSITARIO</v>
          </cell>
          <cell r="H75">
            <v>6</v>
          </cell>
          <cell r="I75">
            <v>4400000</v>
          </cell>
          <cell r="J75">
            <v>45327</v>
          </cell>
          <cell r="K75">
            <v>45641</v>
          </cell>
          <cell r="N75">
            <v>10</v>
          </cell>
          <cell r="O75">
            <v>46053333.333333336</v>
          </cell>
          <cell r="P75">
            <v>52516310</v>
          </cell>
          <cell r="Q75" t="str">
            <v>CAROLINA PRADO MUÑOZ</v>
          </cell>
          <cell r="R75" t="str">
            <v>Prestar servicios profesionales a la Subdirección de Personal para apoyar la formulación, ejecución, seguimiento y control del Plan de Capacitación</v>
          </cell>
        </row>
        <row r="76">
          <cell r="A76" t="str">
            <v>054</v>
          </cell>
          <cell r="B76" t="str">
            <v>VICERRECTORÍA ADMINISTRATIVA Y FINANCIERA</v>
          </cell>
          <cell r="C76" t="str">
            <v>SUBDIRECCIÓN DE SERVICIOS GENERALES</v>
          </cell>
          <cell r="E76" t="str">
            <v>Servicios Asistenciales</v>
          </cell>
          <cell r="F76" t="str">
            <v>CPS</v>
          </cell>
          <cell r="G76" t="str">
            <v>ASISTENCIAL</v>
          </cell>
          <cell r="H76">
            <v>5</v>
          </cell>
          <cell r="I76">
            <v>2100000</v>
          </cell>
          <cell r="J76">
            <v>45306</v>
          </cell>
          <cell r="K76">
            <v>45639</v>
          </cell>
          <cell r="N76">
            <v>11</v>
          </cell>
          <cell r="O76">
            <v>23310000</v>
          </cell>
          <cell r="P76">
            <v>16881799</v>
          </cell>
          <cell r="Q76" t="str">
            <v>LUIS ALFONSO SICACHA GONZALEZ</v>
          </cell>
          <cell r="R76" t="str">
            <v>Prestalos los servicios para garantizar el buen funcionamiento de la piscina y las calderas de Calle 72  de la Universidad Pedagógica Nacional.</v>
          </cell>
        </row>
        <row r="77">
          <cell r="A77" t="str">
            <v>055</v>
          </cell>
          <cell r="B77" t="str">
            <v>VICERRECTORÍA ADMINISTRATIVA Y FINANCIERA</v>
          </cell>
          <cell r="C77" t="str">
            <v xml:space="preserve">GRUPO DE CONTRATACIÓN </v>
          </cell>
          <cell r="E77" t="str">
            <v>Servicios Profesionales</v>
          </cell>
          <cell r="F77" t="str">
            <v>CPS</v>
          </cell>
          <cell r="G77" t="str">
            <v>PROFESIONAL UNIVERSITARIO</v>
          </cell>
          <cell r="H77">
            <v>6</v>
          </cell>
          <cell r="I77">
            <v>4400000</v>
          </cell>
          <cell r="J77">
            <v>45327</v>
          </cell>
          <cell r="K77">
            <v>45626</v>
          </cell>
          <cell r="N77">
            <v>10</v>
          </cell>
          <cell r="O77">
            <v>43853333.333333336</v>
          </cell>
          <cell r="P77">
            <v>1005450904</v>
          </cell>
          <cell r="Q77" t="str">
            <v>MARÍA ISABEL PINZÓN PINTO</v>
          </cell>
          <cell r="R77" t="str">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v>
          </cell>
        </row>
        <row r="78">
          <cell r="A78" t="str">
            <v>056</v>
          </cell>
          <cell r="B78" t="str">
            <v>VICERRECTORÍA ADMINISTRATIVA Y FINANCIERA</v>
          </cell>
          <cell r="C78" t="str">
            <v xml:space="preserve">SUBDIRECCIÓN DE GESTIÓN DE SISTEMAS DE INFORMACIÓN </v>
          </cell>
          <cell r="E78" t="str">
            <v>Servicios Profesionales</v>
          </cell>
          <cell r="F78" t="str">
            <v>CPS</v>
          </cell>
          <cell r="G78" t="str">
            <v>PROFESIONAL UNIVERSITARIO</v>
          </cell>
          <cell r="H78">
            <v>3</v>
          </cell>
          <cell r="I78">
            <v>3600000</v>
          </cell>
          <cell r="J78">
            <v>45315</v>
          </cell>
          <cell r="K78">
            <v>45625</v>
          </cell>
          <cell r="N78">
            <v>10</v>
          </cell>
          <cell r="O78">
            <v>37680000</v>
          </cell>
          <cell r="P78">
            <v>80723573</v>
          </cell>
          <cell r="Q78" t="str">
            <v>OLGER ELIAS GARAVITO MUÑOZ</v>
          </cell>
          <cell r="R78" t="str">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v>
          </cell>
        </row>
        <row r="79">
          <cell r="A79" t="str">
            <v>057</v>
          </cell>
          <cell r="B79" t="str">
            <v>VICERRECTORÍA ADMINISTRATIVA Y FINANCIERA</v>
          </cell>
          <cell r="C79" t="str">
            <v xml:space="preserve">SUBDIRECCIÓN DE GESTIÓN DE SISTEMAS DE INFORMACIÓN </v>
          </cell>
          <cell r="E79" t="str">
            <v>Servicios Profesionales</v>
          </cell>
          <cell r="F79" t="str">
            <v>CPS</v>
          </cell>
          <cell r="G79" t="str">
            <v>PROFESIONAL UNIVERSITARIO</v>
          </cell>
          <cell r="H79">
            <v>3</v>
          </cell>
          <cell r="I79">
            <v>3600000</v>
          </cell>
          <cell r="J79">
            <v>45315</v>
          </cell>
          <cell r="K79">
            <v>45646</v>
          </cell>
          <cell r="N79">
            <v>10</v>
          </cell>
          <cell r="O79">
            <v>37680000</v>
          </cell>
          <cell r="P79">
            <v>1065564485</v>
          </cell>
          <cell r="Q79" t="str">
            <v>HUGO LUIS BARROS LIÑAN</v>
          </cell>
          <cell r="R79" t="str">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v>
          </cell>
        </row>
        <row r="80">
          <cell r="A80" t="str">
            <v>058</v>
          </cell>
          <cell r="B80" t="str">
            <v>VICERRECTORÍA ADMINISTRATIVA Y FINANCIERA</v>
          </cell>
          <cell r="C80" t="str">
            <v xml:space="preserve">SUBDIRECCIÓN DE GESTIÓN DE SISTEMAS DE INFORMACIÓN </v>
          </cell>
          <cell r="E80" t="str">
            <v>Servicios Profesionales</v>
          </cell>
          <cell r="F80" t="str">
            <v>CPS</v>
          </cell>
          <cell r="G80" t="str">
            <v>PROFESIONAL ESPECIALIZADO</v>
          </cell>
          <cell r="H80">
            <v>1</v>
          </cell>
          <cell r="I80">
            <v>4700000</v>
          </cell>
          <cell r="J80">
            <v>45315</v>
          </cell>
          <cell r="K80">
            <v>45625</v>
          </cell>
          <cell r="N80">
            <v>10</v>
          </cell>
          <cell r="O80">
            <v>49193333.333333336</v>
          </cell>
          <cell r="P80">
            <v>52558393</v>
          </cell>
          <cell r="Q80" t="str">
            <v>LOZANO RAMIREZ ANDREA MARIA</v>
          </cell>
          <cell r="R80" t="str">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v>
          </cell>
        </row>
        <row r="81">
          <cell r="A81" t="str">
            <v>059</v>
          </cell>
          <cell r="B81" t="str">
            <v>VICERRECTORÍA ADMINISTRATIVA Y FINANCIERA</v>
          </cell>
          <cell r="C81" t="str">
            <v xml:space="preserve">SUBDIRECCIÓN DE GESTIÓN DE SISTEMAS DE INFORMACIÓN </v>
          </cell>
          <cell r="E81" t="str">
            <v>Servicios Profesionales</v>
          </cell>
          <cell r="F81" t="str">
            <v>CPS</v>
          </cell>
          <cell r="G81" t="str">
            <v>PROFESIONAL UNIVERSITARIO</v>
          </cell>
          <cell r="H81">
            <v>3</v>
          </cell>
          <cell r="I81">
            <v>3600000</v>
          </cell>
          <cell r="J81">
            <v>45315</v>
          </cell>
          <cell r="K81">
            <v>45625</v>
          </cell>
          <cell r="N81">
            <v>10</v>
          </cell>
          <cell r="O81">
            <v>37680000</v>
          </cell>
          <cell r="P81">
            <v>80010368</v>
          </cell>
          <cell r="Q81" t="str">
            <v>EDGAR FERNANDO VARGAS BUITRAGO</v>
          </cell>
          <cell r="R81" t="str">
            <v>prestar los servicios profesionales para administrar, soportar y garantizar la disponibilidad de la plataforma de servidores físicos y virtuales, incluyendo la infraestructura web de la Universidad Pedagógica Nacional.</v>
          </cell>
        </row>
        <row r="82">
          <cell r="A82" t="str">
            <v>060</v>
          </cell>
          <cell r="B82" t="str">
            <v>VICERRECTORÍA ADMINISTRATIVA Y FINANCIERA</v>
          </cell>
          <cell r="C82" t="str">
            <v xml:space="preserve">SUBDIRECCIÓN DE GESTIÓN DE SISTEMAS DE INFORMACIÓN </v>
          </cell>
          <cell r="E82" t="str">
            <v>Servicios Técnicos</v>
          </cell>
          <cell r="F82" t="str">
            <v>CPS</v>
          </cell>
          <cell r="G82" t="str">
            <v>TÉCNICO</v>
          </cell>
          <cell r="H82">
            <v>1</v>
          </cell>
          <cell r="I82">
            <v>2300000</v>
          </cell>
          <cell r="J82">
            <v>45315</v>
          </cell>
          <cell r="K82">
            <v>45625</v>
          </cell>
          <cell r="N82">
            <v>10</v>
          </cell>
          <cell r="O82">
            <v>24073333.333333332</v>
          </cell>
          <cell r="P82">
            <v>1000115711</v>
          </cell>
          <cell r="Q82" t="str">
            <v>YEFER ESTEBAN RICO SÁNCHEZ</v>
          </cell>
          <cell r="R82" t="str">
            <v>Prestar servicios profesionales para realizar las actividades de consolidación de información para la generación de la data a utilizar en el plan estratégico de gestión de la información de la Universidad Pedagógica Nacional</v>
          </cell>
        </row>
        <row r="83">
          <cell r="A83" t="str">
            <v>062</v>
          </cell>
          <cell r="B83" t="str">
            <v>VICERRECTORÍA ADMINISTRATIVA Y FINANCIERA</v>
          </cell>
          <cell r="C83" t="str">
            <v xml:space="preserve">SUBDIRECCIÓN DE GESTIÓN DE SISTEMAS DE INFORMACIÓN </v>
          </cell>
          <cell r="E83" t="str">
            <v>Servicios Profesionales</v>
          </cell>
          <cell r="F83" t="str">
            <v>CPS</v>
          </cell>
          <cell r="G83" t="str">
            <v>PROFESIONAL ESPECIALIZADO</v>
          </cell>
          <cell r="H83">
            <v>4</v>
          </cell>
          <cell r="I83">
            <v>5700000</v>
          </cell>
          <cell r="J83">
            <v>45315</v>
          </cell>
          <cell r="K83">
            <v>45646</v>
          </cell>
          <cell r="N83">
            <v>11</v>
          </cell>
          <cell r="O83">
            <v>61940000</v>
          </cell>
          <cell r="P83">
            <v>80027001</v>
          </cell>
          <cell r="Q83" t="str">
            <v>HENDRIX  SUAREZ CARDENAS</v>
          </cell>
          <cell r="R83" t="str">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v>
          </cell>
        </row>
        <row r="84">
          <cell r="A84" t="str">
            <v>063</v>
          </cell>
          <cell r="B84" t="str">
            <v>VICERRECTORÍA ADMINISTRATIVA Y FINANCIERA</v>
          </cell>
          <cell r="C84" t="str">
            <v xml:space="preserve">SUBDIRECCIÓN DE GESTIÓN DE SISTEMAS DE INFORMACIÓN </v>
          </cell>
          <cell r="E84" t="str">
            <v>Servicios Profesionales</v>
          </cell>
          <cell r="F84" t="str">
            <v>CPS</v>
          </cell>
          <cell r="G84" t="str">
            <v>PROFESIONAL ESPECIALIZADO</v>
          </cell>
          <cell r="H84">
            <v>1</v>
          </cell>
          <cell r="I84">
            <v>4700000</v>
          </cell>
          <cell r="J84">
            <v>45315</v>
          </cell>
          <cell r="K84">
            <v>45646</v>
          </cell>
          <cell r="N84">
            <v>11</v>
          </cell>
          <cell r="O84">
            <v>51073333.333333336</v>
          </cell>
          <cell r="P84">
            <v>79482785</v>
          </cell>
          <cell r="Q84" t="str">
            <v>FREDY LOPEZ GARCIA</v>
          </cell>
          <cell r="R84" t="str">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v>
          </cell>
        </row>
        <row r="85">
          <cell r="A85" t="str">
            <v>064</v>
          </cell>
          <cell r="B85" t="str">
            <v>VICERRECTORÍA ADMINISTRATIVA Y FINANCIERA</v>
          </cell>
          <cell r="C85" t="str">
            <v xml:space="preserve">SUBDIRECCIÓN DE GESTIÓN DE SISTEMAS DE INFORMACIÓN </v>
          </cell>
          <cell r="E85" t="str">
            <v>Servicios Profesionales</v>
          </cell>
          <cell r="F85" t="str">
            <v>CPS</v>
          </cell>
          <cell r="G85" t="str">
            <v>PROFESIONAL UNIVERSITARIO</v>
          </cell>
          <cell r="H85">
            <v>6</v>
          </cell>
          <cell r="I85">
            <v>4400000</v>
          </cell>
          <cell r="J85">
            <v>45315</v>
          </cell>
          <cell r="K85">
            <v>45625</v>
          </cell>
          <cell r="N85">
            <v>11</v>
          </cell>
          <cell r="O85">
            <v>47960000</v>
          </cell>
          <cell r="P85">
            <v>80832319</v>
          </cell>
          <cell r="Q85" t="str">
            <v>MILTON EDUARDO GARCIA GRANADOS</v>
          </cell>
          <cell r="R85" t="str">
            <v>Prestar los servicios profesionales como administrador y soporte de aplicaciones, principalmente para nuevos desarrollos, en cumplimiento de las metas y los objetivos de la Subdirección de gestión de Sistemas de Información</v>
          </cell>
        </row>
        <row r="86">
          <cell r="A86" t="str">
            <v>065</v>
          </cell>
          <cell r="B86" t="str">
            <v>VICERRECTORÍA ADMINISTRATIVA Y FINANCIERA</v>
          </cell>
          <cell r="C86" t="str">
            <v xml:space="preserve">SUBDIRECCIÓN DE GESTIÓN DE SISTEMAS DE INFORMACIÓN </v>
          </cell>
          <cell r="E86" t="str">
            <v>Servicios Profesionales</v>
          </cell>
          <cell r="F86" t="str">
            <v>CPS</v>
          </cell>
          <cell r="G86" t="str">
            <v>PROFESIONAL UNIVERSITARIO</v>
          </cell>
          <cell r="H86">
            <v>3</v>
          </cell>
          <cell r="I86">
            <v>3600000</v>
          </cell>
          <cell r="J86">
            <v>45315</v>
          </cell>
          <cell r="K86">
            <v>45625</v>
          </cell>
          <cell r="N86">
            <v>10</v>
          </cell>
          <cell r="O86">
            <v>37440000</v>
          </cell>
          <cell r="P86">
            <v>1010236414</v>
          </cell>
          <cell r="Q86" t="str">
            <v>JOHAN SEBASTIAN ROBAYO CASTILLO</v>
          </cell>
          <cell r="R86" t="str">
            <v>Prestar servicios profesionales para la administración y soporte de las bases de datos Mysql Server, principalmente para el nuevo software académico Class</v>
          </cell>
        </row>
        <row r="87">
          <cell r="A87" t="str">
            <v>066</v>
          </cell>
          <cell r="B87" t="str">
            <v>VICERRECTORÍA ADMINISTRATIVA Y FINANCIERA</v>
          </cell>
          <cell r="C87" t="str">
            <v xml:space="preserve">SUBDIRECCIÓN DE GESTIÓN DE SISTEMAS DE INFORMACIÓN </v>
          </cell>
          <cell r="E87" t="str">
            <v>Servicios Profesionales</v>
          </cell>
          <cell r="F87" t="str">
            <v>CPS</v>
          </cell>
          <cell r="G87" t="str">
            <v>PROFESIONAL UNIVERSITARIO</v>
          </cell>
          <cell r="H87">
            <v>6</v>
          </cell>
          <cell r="I87">
            <v>4400000</v>
          </cell>
          <cell r="J87">
            <v>45315</v>
          </cell>
          <cell r="K87">
            <v>45625</v>
          </cell>
          <cell r="N87">
            <v>10</v>
          </cell>
          <cell r="O87">
            <v>46053333.333333336</v>
          </cell>
          <cell r="P87">
            <v>80058485</v>
          </cell>
          <cell r="Q87" t="str">
            <v>GAMBA RONCANCIO YHEISON JAVIER</v>
          </cell>
          <cell r="R87" t="str">
            <v>Prestar los servicos profesionales para continuar con el desarrollo de la página web de la Universidad Pedagógica Nacional y apoyar  labores de programas académicos</v>
          </cell>
        </row>
        <row r="88">
          <cell r="A88" t="str">
            <v>067</v>
          </cell>
          <cell r="B88" t="str">
            <v>VICERRECTORÍA ADMINISTRATIVA Y FINANCIERA</v>
          </cell>
          <cell r="C88" t="str">
            <v>SUBDIRECCIÓN DE BIENESTAR UNIVERSITARIO</v>
          </cell>
          <cell r="D88" t="str">
            <v>GÉNERO</v>
          </cell>
          <cell r="E88" t="str">
            <v>Servicios Profesionales</v>
          </cell>
          <cell r="F88" t="str">
            <v>CPS</v>
          </cell>
          <cell r="G88" t="str">
            <v>PROFESIONAL ESPECIALIZADO</v>
          </cell>
          <cell r="H88">
            <v>3</v>
          </cell>
          <cell r="I88">
            <v>5350000</v>
          </cell>
          <cell r="J88">
            <v>45313</v>
          </cell>
          <cell r="K88">
            <v>45632</v>
          </cell>
          <cell r="N88">
            <v>10</v>
          </cell>
          <cell r="O88">
            <v>54391666.666666664</v>
          </cell>
          <cell r="P88">
            <v>1032468510</v>
          </cell>
          <cell r="Q88" t="str">
            <v>VALENTINA HERRERA OSPINA</v>
          </cell>
          <cell r="R88" t="str">
            <v>Prestar servicios profesionales para apoyar a la Subdirección de Bienestar Universitario en la asistencia jurídica en derechos humanos y violencia de género para atender a estudiantes y funcionarios de la UPN.</v>
          </cell>
        </row>
        <row r="89">
          <cell r="A89" t="str">
            <v>068</v>
          </cell>
          <cell r="B89" t="str">
            <v>VICERRECTORÍA ADMINISTRATIVA Y FINANCIERA</v>
          </cell>
          <cell r="C89" t="str">
            <v>SUBDIRECCIÓN DE BIENESTAR UNIVERSITARIO</v>
          </cell>
          <cell r="D89" t="str">
            <v>RESTAURANTE</v>
          </cell>
          <cell r="E89" t="str">
            <v>Servicios Profesionales</v>
          </cell>
          <cell r="F89" t="str">
            <v>CPS</v>
          </cell>
          <cell r="G89" t="str">
            <v>PROFESIONAL UNIVERSITARIO</v>
          </cell>
          <cell r="H89">
            <v>1</v>
          </cell>
          <cell r="I89">
            <v>3100000</v>
          </cell>
          <cell r="J89">
            <v>45327</v>
          </cell>
          <cell r="K89">
            <v>45632</v>
          </cell>
          <cell r="N89">
            <v>10</v>
          </cell>
          <cell r="O89">
            <v>31516666.666666664</v>
          </cell>
          <cell r="P89">
            <v>80803237</v>
          </cell>
          <cell r="Q89" t="str">
            <v>EDUIN ARLEY RIVERA TORRES</v>
          </cell>
          <cell r="R89" t="str">
            <v>Prestar servicios profesionales para en la Subdirección de Bienestar para realizar el acompañamiento en lo referente a la alimentación, nutrición y dietética de la Escuela Maternal y Restaurante de la UPN.</v>
          </cell>
        </row>
        <row r="90">
          <cell r="A90" t="str">
            <v>069</v>
          </cell>
          <cell r="B90" t="str">
            <v>VICERRECTORÍA ADMINISTRATIVA Y FINANCIERA</v>
          </cell>
          <cell r="C90" t="str">
            <v>SUBDIRECCIÓN DE BIENESTAR UNIVERSITARIO</v>
          </cell>
          <cell r="D90" t="str">
            <v>DEPORTE</v>
          </cell>
          <cell r="E90" t="str">
            <v>Entrenador</v>
          </cell>
          <cell r="F90" t="str">
            <v>Servicios profesionales</v>
          </cell>
          <cell r="G90" t="str">
            <v>ASISTENCIAL</v>
          </cell>
          <cell r="H90">
            <v>3</v>
          </cell>
          <cell r="I90">
            <v>1850000</v>
          </cell>
          <cell r="J90">
            <v>45335</v>
          </cell>
          <cell r="K90">
            <v>45449</v>
          </cell>
          <cell r="L90">
            <v>45517</v>
          </cell>
          <cell r="M90">
            <v>45624</v>
          </cell>
          <cell r="N90">
            <v>7</v>
          </cell>
          <cell r="O90">
            <v>13628333.333333334</v>
          </cell>
          <cell r="P90">
            <v>1032401108</v>
          </cell>
          <cell r="Q90" t="str">
            <v>GUARIN SEPULVEDA CRISTHIAN DAVID</v>
          </cell>
          <cell r="R90" t="str">
            <v>Prestar servicios profesionales para a la Subdirección de Bienestar para orientar los entrenamientos de baloncesto para funcionarios de la UPN.</v>
          </cell>
        </row>
        <row r="91">
          <cell r="A91" t="str">
            <v>070</v>
          </cell>
          <cell r="B91" t="str">
            <v>VICERRECTORÍA ADMINISTRATIVA Y FINANCIERA</v>
          </cell>
          <cell r="C91" t="str">
            <v>SUBDIRECCIÓN DE BIENESTAR UNIVERSITARIO</v>
          </cell>
          <cell r="D91" t="str">
            <v>DEPORTE</v>
          </cell>
          <cell r="E91" t="str">
            <v>Entrenador</v>
          </cell>
          <cell r="F91" t="str">
            <v>Servicios profesionales</v>
          </cell>
          <cell r="G91" t="str">
            <v>ASISTENCIAL</v>
          </cell>
          <cell r="H91">
            <v>3</v>
          </cell>
          <cell r="I91">
            <v>1850000</v>
          </cell>
          <cell r="J91">
            <v>45335</v>
          </cell>
          <cell r="K91">
            <v>45449</v>
          </cell>
          <cell r="L91">
            <v>45517</v>
          </cell>
          <cell r="M91">
            <v>45624</v>
          </cell>
          <cell r="N91">
            <v>7</v>
          </cell>
          <cell r="O91">
            <v>13628333.333333334</v>
          </cell>
          <cell r="P91">
            <v>1072713023</v>
          </cell>
          <cell r="Q91" t="str">
            <v>GUZMAN VILLAMIL MARIA CLAUDIA</v>
          </cell>
          <cell r="R91" t="str">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v>
          </cell>
        </row>
        <row r="92">
          <cell r="A92" t="str">
            <v>071</v>
          </cell>
          <cell r="B92" t="str">
            <v>VICERRECTORÍA ADMINISTRATIVA Y FINANCIERA</v>
          </cell>
          <cell r="C92" t="str">
            <v>SUBDIRECCIÓN DE BIENESTAR UNIVERSITARIO</v>
          </cell>
          <cell r="D92" t="str">
            <v>DEPORTE</v>
          </cell>
          <cell r="E92" t="str">
            <v>Entrenador</v>
          </cell>
          <cell r="F92" t="str">
            <v>Servicios profesionales</v>
          </cell>
          <cell r="G92" t="str">
            <v>ASISTENCIAL</v>
          </cell>
          <cell r="H92">
            <v>3</v>
          </cell>
          <cell r="I92">
            <v>1850000</v>
          </cell>
          <cell r="J92">
            <v>45335</v>
          </cell>
          <cell r="K92">
            <v>45449</v>
          </cell>
          <cell r="L92">
            <v>45517</v>
          </cell>
          <cell r="M92">
            <v>45624</v>
          </cell>
          <cell r="N92">
            <v>7</v>
          </cell>
          <cell r="O92">
            <v>13628333.333333334</v>
          </cell>
          <cell r="P92">
            <v>1075669700</v>
          </cell>
          <cell r="Q92" t="str">
            <v>JESICA KATTERINE VELASQUEZ CASTILLO</v>
          </cell>
          <cell r="R92" t="str">
            <v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v>
          </cell>
        </row>
        <row r="93">
          <cell r="A93" t="str">
            <v>072</v>
          </cell>
          <cell r="B93" t="str">
            <v>VICERRECTORÍA ADMINISTRATIVA Y FINANCIERA</v>
          </cell>
          <cell r="C93" t="str">
            <v>SUBDIRECCIÓN DE BIENESTAR UNIVERSITARIO</v>
          </cell>
          <cell r="D93" t="str">
            <v>DEPORTE</v>
          </cell>
          <cell r="E93" t="str">
            <v>Entrenador</v>
          </cell>
          <cell r="F93" t="str">
            <v>Servicios profesionales</v>
          </cell>
          <cell r="G93" t="str">
            <v>ASISTENCIAL</v>
          </cell>
          <cell r="H93">
            <v>3</v>
          </cell>
          <cell r="I93">
            <v>1850000</v>
          </cell>
          <cell r="J93">
            <v>45335</v>
          </cell>
          <cell r="K93">
            <v>45449</v>
          </cell>
          <cell r="L93">
            <v>45517</v>
          </cell>
          <cell r="M93">
            <v>45624</v>
          </cell>
          <cell r="N93">
            <v>7</v>
          </cell>
          <cell r="O93">
            <v>13628333.333333334</v>
          </cell>
          <cell r="P93">
            <v>80747625</v>
          </cell>
          <cell r="Q93" t="str">
            <v>DEIBY TRIANA MUÑOZ</v>
          </cell>
          <cell r="R93" t="str">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v>
          </cell>
        </row>
        <row r="94">
          <cell r="A94" t="str">
            <v>073</v>
          </cell>
          <cell r="B94" t="str">
            <v>VICERRECTORÍA ADMINISTRATIVA Y FINANCIERA</v>
          </cell>
          <cell r="C94" t="str">
            <v>SUBDIRECCIÓN DE BIENESTAR UNIVERSITARIO</v>
          </cell>
          <cell r="D94" t="str">
            <v>DEPORTE</v>
          </cell>
          <cell r="E94" t="str">
            <v>Entrenador</v>
          </cell>
          <cell r="F94" t="str">
            <v>Servicios profesionales</v>
          </cell>
          <cell r="G94" t="str">
            <v>ASISTENCIAL</v>
          </cell>
          <cell r="H94">
            <v>3</v>
          </cell>
          <cell r="I94">
            <v>1850000</v>
          </cell>
          <cell r="J94">
            <v>45335</v>
          </cell>
          <cell r="K94">
            <v>45449</v>
          </cell>
          <cell r="L94">
            <v>45517</v>
          </cell>
          <cell r="M94">
            <v>45624</v>
          </cell>
          <cell r="N94">
            <v>7</v>
          </cell>
          <cell r="O94">
            <v>13628333.333333334</v>
          </cell>
          <cell r="P94">
            <v>1031125970</v>
          </cell>
          <cell r="Q94" t="str">
            <v>FABIAN CAMILO ORTEGA MELO</v>
          </cell>
          <cell r="R94" t="str">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v>
          </cell>
        </row>
        <row r="95">
          <cell r="A95" t="str">
            <v>074</v>
          </cell>
          <cell r="B95" t="str">
            <v>VICERRECTORÍA ADMINISTRATIVA Y FINANCIERA</v>
          </cell>
          <cell r="C95" t="str">
            <v>SUBDIRECCIÓN DE BIENESTAR UNIVERSITARIO</v>
          </cell>
          <cell r="D95" t="str">
            <v>DEPORTE</v>
          </cell>
          <cell r="E95" t="str">
            <v>Entrenador</v>
          </cell>
          <cell r="F95" t="str">
            <v>Servicios profesionales</v>
          </cell>
          <cell r="G95" t="str">
            <v>ASISTENCIAL</v>
          </cell>
          <cell r="H95">
            <v>3</v>
          </cell>
          <cell r="I95">
            <v>1850000</v>
          </cell>
          <cell r="J95">
            <v>45335</v>
          </cell>
          <cell r="K95">
            <v>45449</v>
          </cell>
          <cell r="L95">
            <v>45517</v>
          </cell>
          <cell r="M95">
            <v>45624</v>
          </cell>
          <cell r="N95">
            <v>7</v>
          </cell>
          <cell r="O95">
            <v>13628333.333333334</v>
          </cell>
          <cell r="P95">
            <v>79922642</v>
          </cell>
          <cell r="Q95" t="str">
            <v>JOSÉ LEONARDO CRISTIANO FONTECHA</v>
          </cell>
          <cell r="R95" t="str">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v>
          </cell>
        </row>
        <row r="96">
          <cell r="A96" t="str">
            <v>075</v>
          </cell>
          <cell r="B96" t="str">
            <v>VICERRECTORÍA ADMINISTRATIVA Y FINANCIERA</v>
          </cell>
          <cell r="C96" t="str">
            <v>SUBDIRECCIÓN DE BIENESTAR UNIVERSITARIO</v>
          </cell>
          <cell r="D96" t="str">
            <v>DEPORTE</v>
          </cell>
          <cell r="E96" t="str">
            <v>Entrenador</v>
          </cell>
          <cell r="F96" t="str">
            <v>Servicios profesionales</v>
          </cell>
          <cell r="G96" t="str">
            <v>ASISTENCIAL</v>
          </cell>
          <cell r="H96">
            <v>3</v>
          </cell>
          <cell r="I96">
            <v>1850000</v>
          </cell>
          <cell r="J96">
            <v>45335</v>
          </cell>
          <cell r="K96">
            <v>45449</v>
          </cell>
          <cell r="L96">
            <v>45517</v>
          </cell>
          <cell r="M96">
            <v>45624</v>
          </cell>
          <cell r="N96">
            <v>7</v>
          </cell>
          <cell r="O96">
            <v>13628333.333333334</v>
          </cell>
          <cell r="P96">
            <v>79650621</v>
          </cell>
          <cell r="Q96" t="str">
            <v>BURGOS BONILLA LUIS CARLOS</v>
          </cell>
          <cell r="R96" t="str">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v>
          </cell>
        </row>
        <row r="97">
          <cell r="A97" t="str">
            <v>076</v>
          </cell>
          <cell r="B97" t="str">
            <v>VICERRECTORÍA ADMINISTRATIVA Y FINANCIERA</v>
          </cell>
          <cell r="C97" t="str">
            <v>SUBDIRECCIÓN DE BIENESTAR UNIVERSITARIO</v>
          </cell>
          <cell r="D97" t="str">
            <v>DEPORTE</v>
          </cell>
          <cell r="E97" t="str">
            <v>Entrenador</v>
          </cell>
          <cell r="F97" t="str">
            <v>Servicios profesionales</v>
          </cell>
          <cell r="G97" t="str">
            <v>ASISTENCIAL</v>
          </cell>
          <cell r="H97">
            <v>3</v>
          </cell>
          <cell r="I97">
            <v>1850000</v>
          </cell>
          <cell r="J97">
            <v>45335</v>
          </cell>
          <cell r="K97">
            <v>45449</v>
          </cell>
          <cell r="L97">
            <v>45517</v>
          </cell>
          <cell r="M97">
            <v>45624</v>
          </cell>
          <cell r="N97">
            <v>7</v>
          </cell>
          <cell r="O97">
            <v>13628333.333333334</v>
          </cell>
          <cell r="P97">
            <v>79624088</v>
          </cell>
          <cell r="Q97" t="str">
            <v>JIMMY GIOVANNI MORENO GARCÍA</v>
          </cell>
          <cell r="R97" t="str">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v>
          </cell>
        </row>
        <row r="98">
          <cell r="A98" t="str">
            <v>077</v>
          </cell>
          <cell r="B98" t="str">
            <v>VICERRECTORÍA ADMINISTRATIVA Y FINANCIERA</v>
          </cell>
          <cell r="C98" t="str">
            <v>SUBDIRECCIÓN DE BIENESTAR UNIVERSITARIO</v>
          </cell>
          <cell r="D98" t="str">
            <v>DEPORTE</v>
          </cell>
          <cell r="E98" t="str">
            <v>Entrenador</v>
          </cell>
          <cell r="F98" t="str">
            <v>Servicios profesionales</v>
          </cell>
          <cell r="G98" t="str">
            <v>ASISTENCIAL</v>
          </cell>
          <cell r="H98">
            <v>3</v>
          </cell>
          <cell r="I98">
            <v>1850000</v>
          </cell>
          <cell r="J98">
            <v>45335</v>
          </cell>
          <cell r="K98">
            <v>45449</v>
          </cell>
          <cell r="L98">
            <v>45517</v>
          </cell>
          <cell r="M98">
            <v>45624</v>
          </cell>
          <cell r="N98">
            <v>7</v>
          </cell>
          <cell r="O98">
            <v>13628333.333333334</v>
          </cell>
          <cell r="P98">
            <v>1073154394</v>
          </cell>
          <cell r="Q98" t="str">
            <v>YAMILE URQUIJO AVENDAÑO</v>
          </cell>
          <cell r="R98" t="str">
            <v>Prestar servicios profesionales para planificar y realizar los entrenamientos de pesas a los equipos representativos de la UPN, apoyar la organización del torneo SUE-DC y hacer acompañamiento constante a los deportistas en los diferentes eventos y torneos en los que participan.</v>
          </cell>
        </row>
        <row r="99">
          <cell r="A99" t="str">
            <v>078</v>
          </cell>
          <cell r="B99" t="str">
            <v>VICERRECTORÍA ADMINISTRATIVA Y FINANCIERA</v>
          </cell>
          <cell r="C99" t="str">
            <v>SUBDIRECCIÓN DE BIENESTAR UNIVERSITARIO</v>
          </cell>
          <cell r="D99" t="str">
            <v>DEPORTE</v>
          </cell>
          <cell r="E99" t="str">
            <v>Entrenador</v>
          </cell>
          <cell r="F99" t="str">
            <v>Servicios profesionales</v>
          </cell>
          <cell r="G99" t="str">
            <v>PROFESIONAL UNIVERSITARIO</v>
          </cell>
          <cell r="H99">
            <v>3</v>
          </cell>
          <cell r="I99">
            <v>3600000</v>
          </cell>
          <cell r="J99">
            <v>45335</v>
          </cell>
          <cell r="K99">
            <v>45449</v>
          </cell>
          <cell r="L99">
            <v>45517</v>
          </cell>
          <cell r="M99">
            <v>45624</v>
          </cell>
          <cell r="N99">
            <v>7</v>
          </cell>
          <cell r="O99">
            <v>26520000</v>
          </cell>
          <cell r="P99">
            <v>79449428</v>
          </cell>
          <cell r="Q99" t="str">
            <v>RICARDO REYES TORRES</v>
          </cell>
          <cell r="R99" t="str">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v>
          </cell>
        </row>
        <row r="100">
          <cell r="A100" t="str">
            <v>079</v>
          </cell>
          <cell r="B100" t="str">
            <v>VICERRECTORÍA ADMINISTRATIVA Y FINANCIERA</v>
          </cell>
          <cell r="C100" t="str">
            <v>SUBDIRECCIÓN DE BIENESTAR UNIVERSITARIO</v>
          </cell>
          <cell r="D100" t="str">
            <v>ARTE Y CULTURA</v>
          </cell>
          <cell r="E100" t="str">
            <v>Tallerista</v>
          </cell>
          <cell r="F100" t="str">
            <v>Servicios profesionales</v>
          </cell>
          <cell r="G100" t="str">
            <v>ASISTENCIAL</v>
          </cell>
          <cell r="H100">
            <v>3</v>
          </cell>
          <cell r="I100">
            <v>1850000</v>
          </cell>
          <cell r="J100">
            <v>45335</v>
          </cell>
          <cell r="K100">
            <v>45449</v>
          </cell>
          <cell r="L100">
            <v>45517</v>
          </cell>
          <cell r="M100">
            <v>45624</v>
          </cell>
          <cell r="N100">
            <v>7</v>
          </cell>
          <cell r="O100">
            <v>13628333.333333334</v>
          </cell>
          <cell r="P100">
            <v>1022324245</v>
          </cell>
          <cell r="Q100" t="str">
            <v>CAMILO ANDRÉS CASADIEGO GUZMAN</v>
          </cell>
          <cell r="R100" t="str">
            <v>Prestar servicios profesionales en la Subdirección de Bienestar para orientar el taller de teatro para estudiantes y funcionarios  y los de profundización para el grupo representativo institucional de la UPN.</v>
          </cell>
        </row>
        <row r="101">
          <cell r="A101" t="str">
            <v>080</v>
          </cell>
          <cell r="B101" t="str">
            <v>VICERRECTORÍA ADMINISTRATIVA Y FINANCIERA</v>
          </cell>
          <cell r="C101" t="str">
            <v>SUBDIRECCIÓN DE BIENESTAR UNIVERSITARIO</v>
          </cell>
          <cell r="D101" t="str">
            <v>MÚSICA Y DANZA</v>
          </cell>
          <cell r="E101" t="str">
            <v>Tallerista</v>
          </cell>
          <cell r="F101" t="str">
            <v>Servicios profesionales</v>
          </cell>
          <cell r="G101" t="str">
            <v>ASISTENCIAL</v>
          </cell>
          <cell r="H101">
            <v>3</v>
          </cell>
          <cell r="I101">
            <v>1850000</v>
          </cell>
          <cell r="J101">
            <v>45335</v>
          </cell>
          <cell r="K101">
            <v>45449</v>
          </cell>
          <cell r="L101">
            <v>45517</v>
          </cell>
          <cell r="M101">
            <v>45624</v>
          </cell>
          <cell r="N101">
            <v>7</v>
          </cell>
          <cell r="O101">
            <v>13628333.333333334</v>
          </cell>
          <cell r="Q101" t="str">
            <v xml:space="preserve">Diego Armando Lozano </v>
          </cell>
          <cell r="R101" t="str">
            <v>Prestar servicios profesionales en la Subdirección de Bienestar para orientar el taller de músicas del pacifico para estudiantes y funcionarios.</v>
          </cell>
        </row>
        <row r="102">
          <cell r="A102" t="str">
            <v>081</v>
          </cell>
          <cell r="B102" t="str">
            <v>VICERRECTORÍA ADMINISTRATIVA Y FINANCIERA</v>
          </cell>
          <cell r="C102" t="str">
            <v>SUBDIRECCIÓN DE BIENESTAR UNIVERSITARIO</v>
          </cell>
          <cell r="D102" t="str">
            <v>MÚSICA Y DANZA</v>
          </cell>
          <cell r="E102" t="str">
            <v>Tallerista</v>
          </cell>
          <cell r="F102" t="str">
            <v>Servicios profesionales</v>
          </cell>
          <cell r="G102" t="str">
            <v>ASISTENCIAL</v>
          </cell>
          <cell r="H102">
            <v>3</v>
          </cell>
          <cell r="I102">
            <v>1850000</v>
          </cell>
          <cell r="J102">
            <v>45335</v>
          </cell>
          <cell r="K102">
            <v>45449</v>
          </cell>
          <cell r="L102">
            <v>45517</v>
          </cell>
          <cell r="M102">
            <v>45624</v>
          </cell>
          <cell r="N102">
            <v>7</v>
          </cell>
          <cell r="O102">
            <v>13628333.333333334</v>
          </cell>
          <cell r="P102">
            <v>51596583</v>
          </cell>
          <cell r="Q102" t="str">
            <v>ALFARO URTATIZ MARIA ELISA</v>
          </cell>
          <cell r="R102" t="str">
            <v>Prestar servicios profesionales en la Subdirección de Bienestar para orientar los talleres de danza folclórica Colombiana para estudiantes, funcionarios y los de profundización para el grupo representativo institucional de la UPN.</v>
          </cell>
        </row>
        <row r="103">
          <cell r="A103" t="str">
            <v>082</v>
          </cell>
          <cell r="B103" t="str">
            <v>VICERRECTORÍA ADMINISTRATIVA Y FINANCIERA</v>
          </cell>
          <cell r="C103" t="str">
            <v>SUBDIRECCIÓN DE BIENESTAR UNIVERSITARIO</v>
          </cell>
          <cell r="D103" t="str">
            <v>MÚSICA Y DANZA</v>
          </cell>
          <cell r="E103" t="str">
            <v>Tallerista</v>
          </cell>
          <cell r="F103" t="str">
            <v>Servicios profesionales</v>
          </cell>
          <cell r="G103" t="str">
            <v>ASISTENCIAL</v>
          </cell>
          <cell r="H103">
            <v>3</v>
          </cell>
          <cell r="I103">
            <v>1850000</v>
          </cell>
          <cell r="J103">
            <v>45335</v>
          </cell>
          <cell r="K103">
            <v>45449</v>
          </cell>
          <cell r="L103">
            <v>45517</v>
          </cell>
          <cell r="M103">
            <v>45624</v>
          </cell>
          <cell r="N103">
            <v>7</v>
          </cell>
          <cell r="O103">
            <v>13628333.333333334</v>
          </cell>
          <cell r="P103">
            <v>1014222525</v>
          </cell>
          <cell r="Q103" t="str">
            <v>BETANCUR URICOECHEA JUAN CAMILO</v>
          </cell>
          <cell r="R103" t="str">
            <v>Prestar servicios profesionales en la Subdirección de Bienestar para orientar el taller de danza urbana pop dance para estudiantes y funcionarios de la UPN.</v>
          </cell>
        </row>
        <row r="104">
          <cell r="A104" t="str">
            <v>083</v>
          </cell>
          <cell r="B104" t="str">
            <v>VICERRECTORÍA ADMINISTRATIVA Y FINANCIERA</v>
          </cell>
          <cell r="C104" t="str">
            <v>SUBDIRECCIÓN DE BIENESTAR UNIVERSITARIO</v>
          </cell>
          <cell r="D104" t="str">
            <v>MÚSICA Y DANZA</v>
          </cell>
          <cell r="E104" t="str">
            <v>Tallerista</v>
          </cell>
          <cell r="F104" t="str">
            <v>Servicios profesionales</v>
          </cell>
          <cell r="G104" t="str">
            <v>ASISTENCIAL</v>
          </cell>
          <cell r="H104">
            <v>3</v>
          </cell>
          <cell r="I104">
            <v>1850000</v>
          </cell>
          <cell r="J104">
            <v>45335</v>
          </cell>
          <cell r="K104">
            <v>45449</v>
          </cell>
          <cell r="L104">
            <v>45517</v>
          </cell>
          <cell r="M104">
            <v>45624</v>
          </cell>
          <cell r="N104">
            <v>7</v>
          </cell>
          <cell r="O104">
            <v>13628333.333333334</v>
          </cell>
          <cell r="P104">
            <v>1015442192</v>
          </cell>
          <cell r="Q104" t="str">
            <v>LOZANO CASTIBLANCO LUZ STELLA</v>
          </cell>
          <cell r="R104" t="str">
            <v>Prestar servicios profesionales en la Subdirección de Bienestar para orientar los talleres de danza del litoral pacífico, para estudiantes, funcionarios y los de profundización para el grupo representativo institucional de la UPN.</v>
          </cell>
        </row>
        <row r="105">
          <cell r="A105" t="str">
            <v>084</v>
          </cell>
          <cell r="B105" t="str">
            <v>VICERRECTORÍA ADMINISTRATIVA Y FINANCIERA</v>
          </cell>
          <cell r="C105" t="str">
            <v>SUBDIRECCIÓN DE BIENESTAR UNIVERSITARIO</v>
          </cell>
          <cell r="D105" t="str">
            <v>MÚSICA Y DANZA</v>
          </cell>
          <cell r="E105" t="str">
            <v>Tallerista</v>
          </cell>
          <cell r="F105" t="str">
            <v>Servicios profesionales</v>
          </cell>
          <cell r="G105" t="str">
            <v>ASISTENCIAL</v>
          </cell>
          <cell r="H105">
            <v>3</v>
          </cell>
          <cell r="I105">
            <v>1850000</v>
          </cell>
          <cell r="J105">
            <v>45335</v>
          </cell>
          <cell r="K105">
            <v>45449</v>
          </cell>
          <cell r="L105">
            <v>45517</v>
          </cell>
          <cell r="M105">
            <v>45624</v>
          </cell>
          <cell r="N105">
            <v>7</v>
          </cell>
          <cell r="O105">
            <v>13628333.333333334</v>
          </cell>
          <cell r="P105">
            <v>52089714</v>
          </cell>
          <cell r="Q105" t="str">
            <v>INDHIRA ALEXANDRA GUZMAN BARBOSA</v>
          </cell>
          <cell r="R105" t="str">
            <v>Prestar servicios profesionales en la Subdirección de Bienestar para orientar los talleres de flamenco para estudiantes, funcionarios y los de profundización para el grupo representativo institucional de la UPN.</v>
          </cell>
        </row>
        <row r="106">
          <cell r="A106" t="str">
            <v>085</v>
          </cell>
          <cell r="B106" t="str">
            <v>VICERRECTORÍA ADMINISTRATIVA Y FINANCIERA</v>
          </cell>
          <cell r="C106" t="str">
            <v>SUBDIRECCIÓN DE BIENESTAR UNIVERSITARIO</v>
          </cell>
          <cell r="D106" t="str">
            <v>MÚSICA Y DANZA</v>
          </cell>
          <cell r="E106" t="str">
            <v>Tallerista</v>
          </cell>
          <cell r="F106" t="str">
            <v>Servicios profesionales</v>
          </cell>
          <cell r="G106" t="str">
            <v>ASISTENCIAL</v>
          </cell>
          <cell r="H106">
            <v>3</v>
          </cell>
          <cell r="I106">
            <v>1850000</v>
          </cell>
          <cell r="J106">
            <v>45335</v>
          </cell>
          <cell r="K106">
            <v>45449</v>
          </cell>
          <cell r="L106">
            <v>45517</v>
          </cell>
          <cell r="M106">
            <v>45624</v>
          </cell>
          <cell r="N106">
            <v>7</v>
          </cell>
          <cell r="O106">
            <v>13628333.333333334</v>
          </cell>
          <cell r="Q106" t="str">
            <v>NN</v>
          </cell>
          <cell r="R106" t="str">
            <v>Prestar servicios profesionales en la Subdirección de Bienestar para orientar los talleres de salsa y bachata para estudiantes y funcionarios de la UPN.</v>
          </cell>
        </row>
        <row r="107">
          <cell r="A107" t="str">
            <v>086</v>
          </cell>
          <cell r="B107" t="str">
            <v>VICERRECTORÍA ADMINISTRATIVA Y FINANCIERA</v>
          </cell>
          <cell r="C107" t="str">
            <v>SUBDIRECCIÓN DE BIENESTAR UNIVERSITARIO</v>
          </cell>
          <cell r="D107" t="str">
            <v>GOAE</v>
          </cell>
          <cell r="E107" t="str">
            <v>Servicios Profesionales</v>
          </cell>
          <cell r="F107" t="str">
            <v>CPS</v>
          </cell>
          <cell r="G107" t="str">
            <v>PROFESIONAL UNIVERSITARIO</v>
          </cell>
          <cell r="H107">
            <v>4</v>
          </cell>
          <cell r="I107">
            <v>3900000</v>
          </cell>
          <cell r="J107">
            <v>45327</v>
          </cell>
          <cell r="K107">
            <v>45639</v>
          </cell>
          <cell r="N107">
            <v>10</v>
          </cell>
          <cell r="O107">
            <v>40560000</v>
          </cell>
          <cell r="Q107" t="str">
            <v>NN</v>
          </cell>
          <cell r="R107" t="str">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v>
          </cell>
        </row>
        <row r="108">
          <cell r="A108" t="str">
            <v>107</v>
          </cell>
          <cell r="B108" t="str">
            <v>VICERRECTORÍA ADMINISTRATIVA Y FINANCIERA</v>
          </cell>
          <cell r="C108" t="str">
            <v>DESPACHO VAD</v>
          </cell>
          <cell r="E108" t="str">
            <v>Servicios Profesionales</v>
          </cell>
          <cell r="F108" t="str">
            <v>CPS</v>
          </cell>
          <cell r="G108" t="str">
            <v>PROFESIONAL ESPECIALIZADO</v>
          </cell>
          <cell r="H108">
            <v>6</v>
          </cell>
          <cell r="I108">
            <v>6200000</v>
          </cell>
          <cell r="J108">
            <v>45313</v>
          </cell>
          <cell r="K108">
            <v>45653</v>
          </cell>
          <cell r="N108">
            <v>11</v>
          </cell>
          <cell r="O108">
            <v>70266666.666666672</v>
          </cell>
          <cell r="P108">
            <v>53017352</v>
          </cell>
          <cell r="Q108" t="str">
            <v>KAREN VIVIANA RENGIFO PÉREZ</v>
          </cell>
          <cell r="R108" t="str">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v>
          </cell>
        </row>
        <row r="109">
          <cell r="A109" t="str">
            <v>109</v>
          </cell>
          <cell r="B109" t="str">
            <v>VICERRECTORÍA ADMINISTRATIVA Y FINANCIERA</v>
          </cell>
          <cell r="C109" t="str">
            <v>SUBDIRECCIÓN DE BIENESTAR UNIVERSITARIO</v>
          </cell>
          <cell r="D109" t="str">
            <v>DEPORTE</v>
          </cell>
          <cell r="E109" t="str">
            <v>Entrenador</v>
          </cell>
          <cell r="F109" t="str">
            <v>Servicios profesionales</v>
          </cell>
          <cell r="G109" t="str">
            <v>ASISTENCIAL</v>
          </cell>
          <cell r="H109">
            <v>3</v>
          </cell>
          <cell r="I109">
            <v>1850000</v>
          </cell>
          <cell r="J109">
            <v>45335</v>
          </cell>
          <cell r="K109">
            <v>45449</v>
          </cell>
          <cell r="L109">
            <v>45517</v>
          </cell>
          <cell r="M109">
            <v>45624</v>
          </cell>
          <cell r="N109">
            <v>7</v>
          </cell>
          <cell r="O109">
            <v>13628333.333333334</v>
          </cell>
          <cell r="R109" t="str">
            <v>Prestar los servicios para planificar, realizar y acompañar los entrenamientos de Tennis de campo a los equipos representativos de la UPN y apoyar la organización del torneo SUE-DC.</v>
          </cell>
        </row>
        <row r="110">
          <cell r="A110" t="str">
            <v>110</v>
          </cell>
          <cell r="B110" t="str">
            <v>VICERRECTORÍA ADMINISTRATIVA Y FINANCIERA</v>
          </cell>
          <cell r="C110" t="str">
            <v>SUBDIRECCIÓN DE BIENESTAR UNIVERSITARIO</v>
          </cell>
          <cell r="D110" t="str">
            <v>MÚSICA Y DANZA</v>
          </cell>
          <cell r="E110" t="str">
            <v>Tallerista</v>
          </cell>
          <cell r="F110" t="str">
            <v>Servicios profesionales</v>
          </cell>
          <cell r="G110" t="str">
            <v>ASISTENCIAL</v>
          </cell>
          <cell r="H110">
            <v>3</v>
          </cell>
          <cell r="I110">
            <v>1850000</v>
          </cell>
          <cell r="J110">
            <v>45335</v>
          </cell>
          <cell r="K110">
            <v>45449</v>
          </cell>
          <cell r="L110">
            <v>45517</v>
          </cell>
          <cell r="M110">
            <v>45624</v>
          </cell>
          <cell r="N110">
            <v>7</v>
          </cell>
          <cell r="O110">
            <v>13628333.333333334</v>
          </cell>
          <cell r="R110" t="str">
            <v>Prestar los servicios para orientar los talleres de percusión folclórica y tamboras, dirigidos a los estudiantes, funcionarios y los de profundización para el Grupo Representativo Institucional de la UPN</v>
          </cell>
        </row>
        <row r="111">
          <cell r="A111" t="str">
            <v>113</v>
          </cell>
          <cell r="B111" t="str">
            <v>VICERRECTORÍA ADMINISTRATIVA Y FINANCIERA</v>
          </cell>
          <cell r="C111" t="str">
            <v>SUBDIRECCIÓN DE BIENESTAR UNIVERSITARIO</v>
          </cell>
          <cell r="D111" t="str">
            <v>DEPORTE</v>
          </cell>
          <cell r="E111" t="str">
            <v>Entrenador</v>
          </cell>
          <cell r="F111" t="str">
            <v>Servicios profesionales</v>
          </cell>
          <cell r="G111" t="str">
            <v>ASISTENCIAL</v>
          </cell>
          <cell r="H111">
            <v>3</v>
          </cell>
          <cell r="I111">
            <v>1850000</v>
          </cell>
          <cell r="J111">
            <v>45335</v>
          </cell>
          <cell r="K111">
            <v>45449</v>
          </cell>
          <cell r="L111">
            <v>45517</v>
          </cell>
          <cell r="M111">
            <v>45624</v>
          </cell>
          <cell r="N111">
            <v>7</v>
          </cell>
          <cell r="O111">
            <v>13628333.333333334</v>
          </cell>
          <cell r="R111" t="str">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v>
          </cell>
        </row>
        <row r="112">
          <cell r="A112" t="str">
            <v>115</v>
          </cell>
          <cell r="B112" t="str">
            <v>VICERRECTORÍA ADMINISTRATIVA Y FINANCIERA</v>
          </cell>
          <cell r="C112" t="str">
            <v>SUBDIRECCIÓN DE BIENESTAR UNIVERSITARIO</v>
          </cell>
          <cell r="D112" t="str">
            <v>DESPACHO SBU</v>
          </cell>
          <cell r="E112" t="str">
            <v>Ingeniero</v>
          </cell>
          <cell r="F112" t="str">
            <v>Servicios profesionales</v>
          </cell>
          <cell r="G112" t="str">
            <v>PROFESIONAL ESPECIALIZADO</v>
          </cell>
          <cell r="H112">
            <v>3</v>
          </cell>
          <cell r="I112">
            <v>5350000</v>
          </cell>
          <cell r="J112">
            <v>45313</v>
          </cell>
          <cell r="K112">
            <v>45626</v>
          </cell>
          <cell r="N112">
            <v>10</v>
          </cell>
          <cell r="O112">
            <v>55640000</v>
          </cell>
          <cell r="R112" t="str">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v>
          </cell>
        </row>
        <row r="113">
          <cell r="A113" t="str">
            <v>095</v>
          </cell>
          <cell r="B113" t="str">
            <v>INSTITUTO PEDAGÓGICO NACIONAL</v>
          </cell>
          <cell r="C113" t="str">
            <v>INSTITUTO PEDAGÓGICO NACIONAL</v>
          </cell>
          <cell r="E113" t="str">
            <v>Servicios Profesionales</v>
          </cell>
          <cell r="F113" t="str">
            <v>CPS</v>
          </cell>
          <cell r="G113" t="str">
            <v>PROFESIONAL UNIVERSITARIO</v>
          </cell>
          <cell r="H113">
            <v>1</v>
          </cell>
          <cell r="I113">
            <v>3100000</v>
          </cell>
          <cell r="J113">
            <v>45306</v>
          </cell>
          <cell r="K113">
            <v>45632</v>
          </cell>
          <cell r="M113">
            <v>45639</v>
          </cell>
          <cell r="N113">
            <v>11</v>
          </cell>
          <cell r="O113">
            <v>33686666.666666672</v>
          </cell>
          <cell r="P113">
            <v>1082966673</v>
          </cell>
          <cell r="Q113" t="str">
            <v>JENIFFER GISSEL LOPEZ IBARRA</v>
          </cell>
          <cell r="R113" t="str">
            <v>Prestar servicios de acompañamiento jurídico y administrativo, para documentar y sustentar los asuntos y temas  sometidos a consideración de la Dirección del instituto
Pedagógico Nacional</v>
          </cell>
        </row>
        <row r="114">
          <cell r="A114" t="str">
            <v>096</v>
          </cell>
          <cell r="B114" t="str">
            <v>INSTITUTO PEDAGÓGICO NACIONAL</v>
          </cell>
          <cell r="C114" t="str">
            <v>INSTITUTO PEDAGÓGICO NACIONAL</v>
          </cell>
          <cell r="E114" t="str">
            <v>Servicios Técnicos</v>
          </cell>
          <cell r="F114" t="str">
            <v>CPS</v>
          </cell>
          <cell r="G114" t="str">
            <v>TÉCNICO</v>
          </cell>
          <cell r="H114">
            <v>1</v>
          </cell>
          <cell r="I114">
            <v>2300000</v>
          </cell>
          <cell r="J114">
            <v>45327</v>
          </cell>
          <cell r="K114">
            <v>45632</v>
          </cell>
          <cell r="L114">
            <v>45313</v>
          </cell>
          <cell r="N114">
            <v>10</v>
          </cell>
          <cell r="O114">
            <v>23383333.333333332</v>
          </cell>
          <cell r="P114">
            <v>1121937406</v>
          </cell>
          <cell r="Q114" t="str">
            <v>LEYDI JOHANA GARZON ROJAS</v>
          </cell>
          <cell r="R114" t="str">
            <v>Prestar los servicios de Auxiliar de Enfermería al Instituto pedagógico Nacional. Apoyar la asistencia a estudiantes y realizar el acompañamiento a los casos asignados.</v>
          </cell>
        </row>
        <row r="115">
          <cell r="A115" t="str">
            <v>097</v>
          </cell>
          <cell r="B115" t="str">
            <v>INSTITUTO PEDAGÓGICO NACIONAL</v>
          </cell>
          <cell r="C115" t="str">
            <v>INSTITUTO PEDAGÓGICO NACIONAL</v>
          </cell>
          <cell r="E115" t="str">
            <v>Servicios Asistenciales</v>
          </cell>
          <cell r="F115" t="str">
            <v>CPS</v>
          </cell>
          <cell r="G115" t="str">
            <v>ASISTENCIAL</v>
          </cell>
          <cell r="H115">
            <v>2</v>
          </cell>
          <cell r="I115">
            <v>1750000</v>
          </cell>
          <cell r="J115">
            <v>45327</v>
          </cell>
          <cell r="K115">
            <v>45632</v>
          </cell>
          <cell r="L115">
            <v>45313</v>
          </cell>
          <cell r="N115">
            <v>10</v>
          </cell>
          <cell r="O115">
            <v>17791666.666666664</v>
          </cell>
          <cell r="P115">
            <v>79530858</v>
          </cell>
          <cell r="Q115" t="str">
            <v>LUIS FERNANDO CRUZ MORENO</v>
          </cell>
          <cell r="R115" t="str">
            <v>Apoyo asistencial en el servicio de fotocopiado para el desarrollo de actividades administrativas y operativas derivadas de las actividades académicas del Instituto Pedagógico Nacional</v>
          </cell>
        </row>
        <row r="116">
          <cell r="A116" t="str">
            <v>098</v>
          </cell>
          <cell r="B116" t="str">
            <v>INSTITUTO PEDAGÓGICO NACIONAL</v>
          </cell>
          <cell r="C116" t="str">
            <v>INSTITUTO PEDAGÓGICO NACIONAL</v>
          </cell>
          <cell r="E116" t="str">
            <v>Servicios Asistenciales</v>
          </cell>
          <cell r="F116" t="str">
            <v>CPS</v>
          </cell>
          <cell r="G116" t="str">
            <v>ASISTENCIAL</v>
          </cell>
          <cell r="H116">
            <v>2</v>
          </cell>
          <cell r="I116">
            <v>1750000</v>
          </cell>
          <cell r="J116">
            <v>45306</v>
          </cell>
          <cell r="K116">
            <v>45632</v>
          </cell>
          <cell r="N116">
            <v>11</v>
          </cell>
          <cell r="O116">
            <v>19016666.666666668</v>
          </cell>
          <cell r="P116">
            <v>1073519478</v>
          </cell>
          <cell r="Q116" t="str">
            <v>LAURA ANDREA MACIAS OLANO</v>
          </cell>
          <cell r="R116" t="str">
            <v>Prestación de servicios para el apoyo a la atención a estudiantes, padres de familia, profesores y organización y conservación del archivo del área de orientación escolar</v>
          </cell>
        </row>
        <row r="117">
          <cell r="A117" t="str">
            <v>099</v>
          </cell>
          <cell r="B117" t="str">
            <v>INSTITUTO PEDAGÓGICO NACIONAL</v>
          </cell>
          <cell r="C117" t="str">
            <v>INSTITUTO PEDAGÓGICO NACIONAL</v>
          </cell>
          <cell r="E117" t="str">
            <v>Servicios Técnicos</v>
          </cell>
          <cell r="F117" t="str">
            <v>CPS</v>
          </cell>
          <cell r="G117" t="str">
            <v>TÉCNICO</v>
          </cell>
          <cell r="H117">
            <v>1</v>
          </cell>
          <cell r="I117">
            <v>2300000</v>
          </cell>
          <cell r="J117">
            <v>45327</v>
          </cell>
          <cell r="K117">
            <v>45632</v>
          </cell>
          <cell r="N117">
            <v>10</v>
          </cell>
          <cell r="O117">
            <v>23383333.333333332</v>
          </cell>
          <cell r="P117">
            <v>41242571</v>
          </cell>
          <cell r="Q117" t="str">
            <v>SANDRA CONSTANZA ESPITIA OLIVEIRA</v>
          </cell>
          <cell r="R117" t="str">
            <v>Prestar los servicios para llevar a cabo la organización del archivo del Instituto Pedagógico Nacional, de acuerdo a la normatividad vigente y apoyar actividades institucionales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PDI"/>
      <sheetName val="Listas"/>
      <sheetName val="PAA Inversión 2023 -UPN"/>
      <sheetName val="LISTAS SEGUI"/>
    </sheetNames>
    <sheetDataSet>
      <sheetData sheetId="0"/>
      <sheetData sheetId="1"/>
      <sheetData sheetId="2"/>
      <sheetData sheetId="3"/>
      <sheetData sheetId="4">
        <row r="155">
          <cell r="B155" t="str">
            <v>Finalización del proyecto por terminación del PDI</v>
          </cell>
        </row>
        <row r="156">
          <cell r="B156" t="str">
            <v>Finalización del proyecto por armonización</v>
          </cell>
        </row>
        <row r="157">
          <cell r="B157" t="str">
            <v>Otras modificaciones</v>
          </cell>
        </row>
        <row r="161">
          <cell r="B161" t="str">
            <v xml:space="preserve">CÓDIGO  </v>
          </cell>
          <cell r="C161" t="str">
            <v xml:space="preserve">FUENTE </v>
          </cell>
        </row>
        <row r="162">
          <cell r="B162">
            <v>17</v>
          </cell>
          <cell r="C162" t="str">
            <v>Recursos Estampilla Universidad Nacional y Otras Universidades</v>
          </cell>
        </row>
        <row r="163">
          <cell r="B163">
            <v>26</v>
          </cell>
          <cell r="C163" t="str">
            <v xml:space="preserve">Recursos Estampilla Universidad Pedagógica Nacional </v>
          </cell>
        </row>
        <row r="164">
          <cell r="B164" t="str">
            <v>10.02</v>
          </cell>
          <cell r="C164" t="str">
            <v>Aportes de la Nación – Inversión</v>
          </cell>
        </row>
        <row r="165">
          <cell r="B165" t="str">
            <v>10.03</v>
          </cell>
          <cell r="C165" t="str">
            <v xml:space="preserve">PFC </v>
          </cell>
        </row>
        <row r="166">
          <cell r="B166" t="str">
            <v>20.01</v>
          </cell>
          <cell r="C166" t="str">
            <v>Recursos Propios</v>
          </cell>
        </row>
        <row r="167">
          <cell r="B167" t="str">
            <v>21.10.02</v>
          </cell>
          <cell r="C167" t="str">
            <v>Recursos del Balance - Recursos Nación Inversión</v>
          </cell>
        </row>
        <row r="168">
          <cell r="B168" t="str">
            <v>21.10.03</v>
          </cell>
          <cell r="C168" t="str">
            <v>Rendimientos Financieros - Recursos Nación</v>
          </cell>
        </row>
        <row r="169">
          <cell r="B169" t="str">
            <v>21.10.06</v>
          </cell>
          <cell r="C169" t="str">
            <v>Recursos del Balance-Inversión-PFC-SUE</v>
          </cell>
        </row>
        <row r="170">
          <cell r="B170" t="str">
            <v>21.10.07</v>
          </cell>
          <cell r="C170" t="str">
            <v>Rendimientos PFC-SUE</v>
          </cell>
        </row>
        <row r="171">
          <cell r="B171" t="str">
            <v>21.10.10</v>
          </cell>
          <cell r="C171" t="str">
            <v>Rendimientos Recursos Nación Inversión</v>
          </cell>
        </row>
        <row r="172">
          <cell r="B172" t="str">
            <v>21.16.03</v>
          </cell>
          <cell r="C172" t="str">
            <v>Rendimientos Recursos CREE</v>
          </cell>
        </row>
        <row r="173">
          <cell r="B173" t="str">
            <v>21.16.16</v>
          </cell>
          <cell r="C173" t="str">
            <v>Recursos del Balance -Recursos CREE</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HON EMERSON ESPITIA SUAREZ" refreshedDate="45287.633057638886" createdVersion="6" refreshedVersion="6" minRefreshableVersion="3" recordCount="114" xr:uid="{17F29819-F19F-4C56-ADB4-37F8276D8164}">
  <cacheSource type="worksheet">
    <worksheetSource ref="A15:BD115" sheet="PAA Contratistas 2024"/>
  </cacheSource>
  <cacheFields count="59">
    <cacheField name="No" numFmtId="0">
      <sharedItems containsBlank="1"/>
    </cacheField>
    <cacheField name="TIPO DE GASTO" numFmtId="0">
      <sharedItems containsBlank="1"/>
    </cacheField>
    <cacheField name="CENTRO RESPONSABILIDAD" numFmtId="0">
      <sharedItems containsBlank="1" count="6">
        <s v="RECTORÍA"/>
        <s v="VICERRECTORÍA ACADÉMICA "/>
        <s v="VICERRECTORÍA DE GESTIÓN UNIVERSITARIA"/>
        <s v="VICERRECTORÍA ADMINISTRATIVA Y FINANCIERA"/>
        <s v="INSTITUTO PEDAGÓGICO NACIONAL"/>
        <m/>
      </sharedItems>
    </cacheField>
    <cacheField name="DEPENDENCIA" numFmtId="0">
      <sharedItems containsBlank="1" count="30">
        <s v="RECTORÍA"/>
        <s v="OFICINA DE COMUNICACIONES"/>
        <s v="SECRETARÍA GENERAL "/>
        <s v="OFICINA DE CONTROL INTERNO"/>
        <s v="OFICINA JURÍDICA "/>
        <s v="OFICINA DE DESARROLLO Y PLANEACIÓN "/>
        <s v="ORI"/>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PERSONAL"/>
        <s v="SUBDIRECCIÓN DE SERVICIOS GENERALES"/>
        <s v="GRUPO DE CONTRATACIÓN "/>
        <s v="SUBDIRECCIÓN DE GESTIÓN DE SISTEMAS DE INFORMACIÓN "/>
        <s v="SUBDIRECCIÓN DE BIENESTAR UNIVERSITARIO"/>
        <s v="FACULTAD DE EDUCACIÓN FÍSICA "/>
        <s v="FACULTAD DE EDUCACIÓN"/>
        <s v="INSTITUTO PEDAGÓGICO NACIONAL"/>
        <s v="SUBDIRECCIÓN DE ASESORÍAS Y EXTENSIÓN"/>
        <s v="CENTRO DE LENGUAS"/>
        <s v="CENTRO DE LENGUAS "/>
        <s v="CENTRO DE EGRESADOS"/>
        <s v="SUBDIRECCION DE GESTION DE PROYECTOS "/>
        <m/>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ntainsBlank="1"/>
    </cacheField>
    <cacheField name="GRADO" numFmtId="0">
      <sharedItems containsString="0" containsBlank="1" containsNumber="1" containsInteger="1" minValue="1" maxValue="6"/>
    </cacheField>
    <cacheField name="Costo Unitario 2023" numFmtId="0">
      <sharedItems containsString="0" containsBlank="1" containsNumber="1" minValue="717210" maxValue="9500000"/>
    </cacheField>
    <cacheField name="%" numFmtId="0">
      <sharedItems containsString="0" containsBlank="1" containsNumber="1" minValue="0" maxValue="1"/>
    </cacheField>
    <cacheField name="Valor Mes" numFmtId="0">
      <sharedItems containsString="0" containsBlank="1" containsNumber="1" minValue="753070.5" maxValue="10072674.375"/>
    </cacheField>
    <cacheField name="Cantidad" numFmtId="0">
      <sharedItems containsString="0" containsBlank="1" containsNumber="1" containsInteger="1" minValue="1" maxValue="108"/>
    </cacheField>
    <cacheField name="TIPO PAGO" numFmtId="0">
      <sharedItems containsBlank="1"/>
    </cacheField>
    <cacheField name="FI-2024" numFmtId="0">
      <sharedItems containsNonDate="0" containsDate="1" containsString="0" containsBlank="1" minDate="2024-01-01T00:00:00" maxDate="2024-05-02T00:00:00"/>
    </cacheField>
    <cacheField name="FF-2024" numFmtId="0">
      <sharedItems containsNonDate="0" containsDate="1" containsString="0" containsBlank="1" minDate="2024-06-06T00:00:00" maxDate="2025-01-01T00:00:00"/>
    </cacheField>
    <cacheField name="Versión 1" numFmtId="0">
      <sharedItems containsBlank="1"/>
    </cacheField>
    <cacheField name="Fecha Inicio1" numFmtId="0">
      <sharedItems containsNonDate="0" containsDate="1" containsString="0" containsBlank="1" minDate="2024-01-01T00:00:00" maxDate="2024-05-07T00:00:00"/>
    </cacheField>
    <cacheField name="Fecha Fin1" numFmtId="0">
      <sharedItems containsNonDate="0" containsDate="1" containsString="0" containsBlank="1" minDate="2024-06-06T00:00:00" maxDate="2025-01-01T00:00:00"/>
    </cacheField>
    <cacheField name="Valor Primera Vinculación" numFmtId="0">
      <sharedItems containsString="0" containsBlank="1" containsNumber="1" minValue="7030000" maxValue="1011500000"/>
    </cacheField>
    <cacheField name="Fecha Inicio2" numFmtId="0">
      <sharedItems containsNonDate="0" containsDate="1" containsString="0" containsBlank="1" minDate="2024-08-01T00:00:00" maxDate="2024-08-14T00:00:00"/>
    </cacheField>
    <cacheField name="Fecha Fin2" numFmtId="0">
      <sharedItems containsNonDate="0" containsDate="1" containsString="0" containsBlank="1" minDate="2024-11-28T00:00:00" maxDate="2024-12-01T00:00:00"/>
    </cacheField>
    <cacheField name="Valor Segunda Vinculación" numFmtId="0">
      <sharedItems containsString="0" containsBlank="1" containsNumber="1" minValue="0" maxValue="899937500"/>
    </cacheField>
    <cacheField name="No. Meses" numFmtId="0">
      <sharedItems containsString="0" containsBlank="1" containsNumber="1" containsInteger="1" minValue="7" maxValue="12"/>
    </cacheField>
    <cacheField name="Valor Anual" numFmtId="0">
      <sharedItems containsString="0" containsBlank="1" containsNumber="1" minValue="7706421.4499999993" maxValue="1911437500"/>
    </cacheField>
    <cacheField name="2023" numFmtId="0">
      <sharedItems containsString="0" containsBlank="1" containsNumber="1" minValue="0" maxValue="1750000000"/>
    </cacheField>
    <cacheField name="%2" numFmtId="0">
      <sharedItems containsString="0" containsBlank="1" containsNumber="1" minValue="-0.35338842975206608" maxValue="16.96471793187586"/>
    </cacheField>
    <cacheField name="CC" numFmtId="0">
      <sharedItems containsString="0" containsBlank="1" containsNumber="1" containsInteger="1" minValue="7177488" maxValue="1121937406"/>
    </cacheField>
    <cacheField name="POSIBLE CONTRATISTA" numFmtId="0">
      <sharedItems containsBlank="1"/>
    </cacheField>
    <cacheField name="VALOR TOTAL" numFmtId="0">
      <sharedItems containsString="0" containsBlank="1" containsNumber="1" minValue="13628333.333333334" maxValue="1911437500"/>
    </cacheField>
    <cacheField name="Fuente de los recursos" numFmtId="0">
      <sharedItems containsBlank="1"/>
    </cacheField>
    <cacheField name="Rubro" numFmtId="0">
      <sharedItems containsBlank="1"/>
    </cacheField>
    <cacheField name="Incluir en PAA" numFmtId="0">
      <sharedItems containsBlank="1"/>
    </cacheField>
    <cacheField name="Con ajustes" numFmtId="0">
      <sharedItems containsNonDate="0" containsString="0" containsBlank="1"/>
    </cacheField>
    <cacheField name="ITEM" numFmtId="0">
      <sharedItems containsBlank="1"/>
    </cacheField>
    <cacheField name="Código UNSPSC (cada código separado por ;)" numFmtId="0">
      <sharedItems containsBlank="1" containsMixedTypes="1" containsNumber="1" containsInteger="1" minValue="80111600" maxValue="84111600"/>
    </cacheField>
    <cacheField name="Descripción (Objeto)" numFmtId="0">
      <sharedItems containsBlank="1" longText="1"/>
    </cacheField>
    <cacheField name="Fecha estimada de inicio de proceso de selección (mes)" numFmtId="0">
      <sharedItems containsNonDate="0" containsDate="1" containsString="0" containsBlank="1" minDate="2024-01-01T00:00:00" maxDate="2024-05-07T00:00:00"/>
    </cacheField>
    <cacheField name="Fecha estimada de presentación de ofertas (mes)" numFmtId="0">
      <sharedItems containsNonDate="0" containsDate="1" containsString="0" containsBlank="1" minDate="2024-01-01T00:00:00" maxDate="2024-05-07T00:00:00"/>
    </cacheField>
    <cacheField name="Duración del contrato (número)" numFmtId="0">
      <sharedItems containsString="0" containsBlank="1" containsNumber="1" containsInteger="1" minValue="7" maxValue="12"/>
    </cacheField>
    <cacheField name="Duración del contrato (intervalo: días, meses, años)" numFmtId="0">
      <sharedItems containsBlank="1"/>
    </cacheField>
    <cacheField name="Modalidad de selección " numFmtId="0">
      <sharedItems containsBlank="1"/>
    </cacheField>
    <cacheField name="Valor total estimado" numFmtId="0">
      <sharedItems containsString="0" containsBlank="1" containsNumber="1" minValue="7706421.4499999993" maxValue="1911437500"/>
    </cacheField>
    <cacheField name="Valor estimado en la vigencia actual" numFmtId="0">
      <sharedItems containsString="0" containsBlank="1" containsNumber="1" minValue="7706421.4499999993" maxValue="1911437500"/>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001"/>
    <s v="GASTOS DE FUNCIONAMIENTO"/>
    <x v="0"/>
    <x v="0"/>
    <s v="CONSEJO SUPERIOR"/>
    <s v="Logística Consejo Superior"/>
    <s v="Logística"/>
    <s v="OTRO"/>
    <m/>
    <n v="4091857.4528999999"/>
    <n v="0.108"/>
    <n v="4533778.0578132002"/>
    <n v="1"/>
    <s v="MENSUAL"/>
    <d v="2024-01-01T00:00:00"/>
    <d v="2024-12-31T00:00:00"/>
    <s v="SI"/>
    <d v="2024-01-01T00:00:00"/>
    <d v="2024-12-31T00:00:00"/>
    <n v="54405336.693758398"/>
    <m/>
    <m/>
    <n v="0"/>
    <n v="12"/>
    <n v="54405336.693758398"/>
    <n v="49102289.434799999"/>
    <n v="0.1080000000000001"/>
    <m/>
    <s v="VARIOS"/>
    <n v="54405336.693758398"/>
    <s v="20.01"/>
    <s v="2.1.2.02.02.008"/>
    <s v="NO"/>
    <m/>
    <s v="CON-001"/>
    <n v="80161500"/>
    <s v="Amparar el pago de honorarios a los miembros del Consejo Superior de la UPN para la Vigencia 2023"/>
    <d v="2024-01-01T00:00:00"/>
    <d v="2024-01-01T00:00:00"/>
    <n v="12"/>
    <s v="MES(ES)"/>
    <s v="Contratación directa."/>
    <n v="54405336.693758398"/>
    <n v="54405336.693758398"/>
    <s v="NO"/>
    <s v="NA"/>
    <s v="GRUPO DE CONTRATACION UNIVERSIDAD PEDAGOGICA NACIONAL"/>
    <s v="CO-DC"/>
    <s v="RECTORÍA"/>
    <s v="601 5941844"/>
    <s v="contratacion@pedagogica.edu.co"/>
    <s v="NO"/>
    <s v="NO"/>
    <s v="No Aplica"/>
    <s v="Todas"/>
    <s v="Todos"/>
    <s v="No Aplica"/>
    <m/>
    <m/>
  </r>
  <r>
    <s v="002"/>
    <s v="GASTOS DE FUNCIONAMIENTO"/>
    <x v="0"/>
    <x v="0"/>
    <s v="DESPACHO RECTORÍA"/>
    <s v="Servicios Profesionales"/>
    <s v="CPS"/>
    <s v="PROFESIONAL ESPECIALIZADO"/>
    <n v="6"/>
    <n v="6000000"/>
    <n v="3.3333333333333437E-2"/>
    <n v="6200000"/>
    <n v="1"/>
    <s v="MENSUAL"/>
    <d v="2024-02-05T00:00:00"/>
    <d v="2024-12-20T00:00:00"/>
    <s v="NO"/>
    <d v="2024-05-06T00:00:00"/>
    <d v="2024-12-20T00:00:00"/>
    <n v="49600000"/>
    <m/>
    <m/>
    <n v="0"/>
    <n v="8"/>
    <n v="49600000"/>
    <n v="66000000"/>
    <n v="-0.24848484848484853"/>
    <n v="19457733"/>
    <s v="FABIO CASTRO BUENO"/>
    <n v="49600000"/>
    <s v="20.01"/>
    <s v="2.1.2.02.02.008"/>
    <s v="SI"/>
    <m/>
    <s v="CON-002"/>
    <n v="80111600"/>
    <s v="Prestar los servicios profesionales para asesorar y acompañar a la Rectoría de la UPN en los asuntos de paz, participación y modificatorios de leyes relacionadas con educación y otros temas de interés para la Universidad"/>
    <d v="2024-05-06T00:00:00"/>
    <d v="2024-05-06T00:00:00"/>
    <n v="8"/>
    <s v="MES(ES)"/>
    <s v="Contratación directa."/>
    <n v="49600000"/>
    <n v="49600000"/>
    <s v="NO"/>
    <s v="NA"/>
    <s v="GRUPO DE CONTRATACION UNIVERSIDAD PEDAGOGICA NACIONAL"/>
    <s v="CO-DC"/>
    <s v="RECTORÍA"/>
    <s v="601 5941844"/>
    <s v="contratacion@pedagogica.edu.co"/>
    <s v="NO"/>
    <s v="NO"/>
    <s v="No Aplica"/>
    <s v="Todas"/>
    <s v="Todos"/>
    <s v="No Aplica"/>
    <m/>
    <m/>
  </r>
  <r>
    <s v="003"/>
    <s v="GASTOS DE FUNCIONAMIENTO"/>
    <x v="0"/>
    <x v="0"/>
    <s v="DESPACHO RECTORÍA"/>
    <s v="Consultoría"/>
    <s v="CPS"/>
    <s v="ASESOR"/>
    <n v="3"/>
    <n v="8000000"/>
    <n v="0"/>
    <n v="8000000"/>
    <n v="1"/>
    <s v="MENSUAL"/>
    <d v="2024-05-01T00:00:00"/>
    <d v="2024-11-30T00:00:00"/>
    <s v="NO"/>
    <d v="2024-05-06T00:00:00"/>
    <d v="2024-11-30T00:00:00"/>
    <n v="56000000"/>
    <m/>
    <m/>
    <n v="0"/>
    <n v="7"/>
    <n v="56000000"/>
    <m/>
    <n v="1"/>
    <m/>
    <s v="BLANCA JANETH GUZMAN GARZON"/>
    <n v="56000000"/>
    <s v="20.01"/>
    <s v="2.1.2.02.02.008"/>
    <s v="SI"/>
    <m/>
    <s v="CON-003"/>
    <n v="80111600"/>
    <s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4"/>
    <s v="GASTOS DE FUNCIONAMIENTO"/>
    <x v="0"/>
    <x v="0"/>
    <s v="DESPACHO RECTORÍA"/>
    <s v="Consultoría"/>
    <s v="CPS"/>
    <s v="ASESOR"/>
    <n v="2"/>
    <n v="7000000"/>
    <n v="5.7142857142857162E-2"/>
    <n v="7400000"/>
    <n v="1"/>
    <s v="MENSUAL"/>
    <d v="2024-05-01T00:00:00"/>
    <d v="2024-11-30T00:00:00"/>
    <s v="NO"/>
    <d v="2024-02-05T00:00:00"/>
    <d v="2024-11-30T00:00:00"/>
    <n v="74000000"/>
    <m/>
    <m/>
    <n v="0"/>
    <n v="10"/>
    <n v="74000000"/>
    <m/>
    <n v="1"/>
    <m/>
    <s v="RAMIRO"/>
    <n v="74000000"/>
    <s v="20.01"/>
    <s v="2.1.2.02.02.008"/>
    <s v="SI"/>
    <m/>
    <s v="CON-004"/>
    <n v="80111600"/>
    <s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2024-02-05T00:00:00"/>
    <d v="2024-02-05T00:00:00"/>
    <n v="10"/>
    <s v="MES(ES)"/>
    <s v="Contratación directa."/>
    <n v="74000000"/>
    <n v="74000000"/>
    <s v="NO"/>
    <s v="NA"/>
    <s v="GRUPO DE CONTRATACION UNIVERSIDAD PEDAGOGICA NACIONAL"/>
    <s v="CO-DC"/>
    <s v="RECTORÍA"/>
    <s v="601 5941844"/>
    <s v="contratacion@pedagogica.edu.co"/>
    <s v="NO"/>
    <s v="NO"/>
    <s v="No Aplica"/>
    <s v="Todas"/>
    <s v="Todos"/>
    <s v="No Aplica"/>
    <m/>
    <m/>
  </r>
  <r>
    <s v="005"/>
    <s v="GASTOS DE FUNCIONAMIENTO"/>
    <x v="0"/>
    <x v="0"/>
    <s v="DESPACHO RECTORÍA"/>
    <s v="Consultoría"/>
    <s v="CPS"/>
    <s v="ASESOR"/>
    <n v="3"/>
    <n v="8000000"/>
    <n v="0"/>
    <n v="8000000"/>
    <n v="1"/>
    <s v="MENSUAL"/>
    <d v="2024-05-01T00:00:00"/>
    <d v="2024-11-30T00:00:00"/>
    <s v="NO"/>
    <d v="2024-05-06T00:00:00"/>
    <d v="2024-11-30T00:00:00"/>
    <n v="56000000"/>
    <m/>
    <m/>
    <n v="0"/>
    <n v="7"/>
    <n v="56000000"/>
    <m/>
    <n v="1"/>
    <m/>
    <s v="ANGELA MARIA ROBLEDO"/>
    <n v="56000000"/>
    <s v="20.01"/>
    <s v="2.1.2.02.02.008"/>
    <s v="SI"/>
    <m/>
    <s v="CON-005"/>
    <n v="80111600"/>
    <s v="Prestar servicios profesionales especializados al despacho de la rectoría de la Universidad Pedagógica Nacional para asesorar a la dirección de la universidad en la orientación de las políticas de transversalización de género y de la cultura de la paz"/>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6"/>
    <s v="GASTOS DE FUNCIONAMIENTO"/>
    <x v="0"/>
    <x v="1"/>
    <m/>
    <s v="Servicios Profesionales"/>
    <s v="CPS"/>
    <s v="PROFESIONAL UNIVERSITARIO"/>
    <n v="6"/>
    <n v="4200000"/>
    <n v="4.7619047619047672E-2"/>
    <n v="4400000"/>
    <n v="1"/>
    <s v="DIA"/>
    <d v="2024-02-12T00:00:00"/>
    <d v="2024-12-13T00:00:00"/>
    <s v="SI"/>
    <d v="2024-02-12T00:00:00"/>
    <d v="2024-12-13T00:00:00"/>
    <n v="44733333.333333328"/>
    <m/>
    <m/>
    <n v="0"/>
    <n v="10"/>
    <n v="44733333.333333328"/>
    <n v="42000000"/>
    <n v="6.507936507936507E-2"/>
    <n v="1023916277"/>
    <s v="MORENO RODRIGUEZ JOSE GREGORIO"/>
    <n v="44733333.333333328"/>
    <s v="20.01"/>
    <s v="2.1.2.02.02.008"/>
    <s v="SI"/>
    <m/>
    <s v="CON-006"/>
    <n v="80111600"/>
    <s v="Prestar servicios profesionales  en el área tecnológica y de diseño con el fin de apoyar el desarrollo de plataformas, aplicaciones y otras necesidades online que se requieran para la UPN"/>
    <d v="2024-02-12T00:00:00"/>
    <d v="2024-02-12T00:00:00"/>
    <n v="10"/>
    <s v="MES(ES)"/>
    <s v="Contratación directa."/>
    <n v="44733333.333333328"/>
    <n v="44733333.333333328"/>
    <s v="NO"/>
    <s v="NA"/>
    <s v="GRUPO DE CONTRATACION UNIVERSIDAD PEDAGOGICA NACIONAL"/>
    <s v="CO-DC"/>
    <s v="OFICINA DE COMUNICACIONES"/>
    <s v="601 5941844"/>
    <s v="contratacion@pedagogica.edu.co"/>
    <s v="NO"/>
    <s v="NO"/>
    <s v="No Aplica"/>
    <s v="Todas"/>
    <s v="Todos"/>
    <s v="No Aplica"/>
    <m/>
    <m/>
  </r>
  <r>
    <s v="007"/>
    <s v="GASTOS DE FUNCIONAMIENTO"/>
    <x v="0"/>
    <x v="2"/>
    <m/>
    <s v="Servicios Asistenciales"/>
    <s v="CPS"/>
    <s v="ASISTENCIAL"/>
    <n v="5"/>
    <n v="2000000"/>
    <n v="5.0000000000000044E-2"/>
    <n v="2100000"/>
    <n v="1"/>
    <s v="DIA"/>
    <d v="2024-02-01T00:00:00"/>
    <d v="2024-12-20T00:00:00"/>
    <s v="SI"/>
    <d v="2024-02-01T00:00:00"/>
    <d v="2024-12-20T00:00:00"/>
    <n v="22610000"/>
    <m/>
    <m/>
    <n v="0"/>
    <n v="11"/>
    <n v="22610000"/>
    <n v="22000000"/>
    <n v="2.7727272727272823E-2"/>
    <n v="80177915"/>
    <s v="RODRIGO ROJAS PARDO"/>
    <n v="22610000"/>
    <s v="20.01"/>
    <s v="2.1.2.02.02.008"/>
    <s v="SI"/>
    <m/>
    <s v="CON-007"/>
    <n v="80111600"/>
    <s v="Prestar servicios profesionales para la transcripción y redacción de actas y documentos del Consejo Superior y el Consejo Académico."/>
    <d v="2024-02-01T00:00:00"/>
    <d v="2024-02-01T00:00:00"/>
    <n v="11"/>
    <s v="MES(ES)"/>
    <s v="Contratación directa."/>
    <n v="22610000"/>
    <n v="22610000"/>
    <s v="NO"/>
    <s v="NA"/>
    <s v="GRUPO DE CONTRATACION UNIVERSIDAD PEDAGOGICA NACIONAL"/>
    <s v="CO-DC"/>
    <s v="SECRETARÍA GENERAL "/>
    <s v="601 5941844"/>
    <s v="contratacion@pedagogica.edu.co"/>
    <s v="NO"/>
    <s v="NO"/>
    <s v="No Aplica"/>
    <s v="Todas"/>
    <s v="Todos"/>
    <s v="No Aplica"/>
    <m/>
    <m/>
  </r>
  <r>
    <s v="008"/>
    <s v="GASTOS DE FUNCIONAMIENTO"/>
    <x v="0"/>
    <x v="3"/>
    <m/>
    <s v="Servicios Profesionales"/>
    <s v="CPS"/>
    <s v="PROFESIONAL ESPECIALIZADO"/>
    <n v="4"/>
    <n v="5500000"/>
    <n v="3.6363636363636376E-2"/>
    <n v="5700000"/>
    <n v="1"/>
    <s v="DIA"/>
    <d v="2024-02-05T00:00:00"/>
    <d v="2024-12-13T00:00:00"/>
    <s v="SI"/>
    <d v="2024-02-05T00:00:00"/>
    <d v="2024-12-13T00:00:00"/>
    <n v="59280000"/>
    <m/>
    <m/>
    <n v="0"/>
    <n v="10"/>
    <n v="59280000"/>
    <n v="55000000"/>
    <n v="7.7818181818181786E-2"/>
    <n v="1024463446"/>
    <s v="ANGELA ROCIO CALDERON AMADO"/>
    <n v="59280000"/>
    <s v="20.01"/>
    <s v="2.1.2.02.02.008"/>
    <s v="SI"/>
    <m/>
    <s v="CON-008"/>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
    <d v="2024-02-05T00:00:00"/>
    <d v="2024-02-05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009"/>
    <s v="GASTOS DE FUNCIONAMIENTO"/>
    <x v="0"/>
    <x v="3"/>
    <m/>
    <s v="Servicios Profesionales"/>
    <s v="CPS"/>
    <s v="PROFESIONAL ESPECIALIZADO"/>
    <n v="1"/>
    <n v="4550000"/>
    <n v="3.2967032967033072E-2"/>
    <n v="4700000"/>
    <n v="1"/>
    <s v="DIA"/>
    <d v="2024-02-05T00:00:00"/>
    <d v="2024-12-13T00:00:00"/>
    <s v="SI"/>
    <d v="2024-02-05T00:00:00"/>
    <d v="2024-12-13T00:00:00"/>
    <n v="48880000"/>
    <m/>
    <m/>
    <n v="0"/>
    <n v="10"/>
    <n v="48880000"/>
    <n v="45500000"/>
    <n v="7.4285714285714288E-2"/>
    <n v="1032393280"/>
    <s v="LINA MARCELA RIVERA MORALES"/>
    <n v="48880000"/>
    <s v="20.01"/>
    <s v="2.1.2.02.02.008"/>
    <s v="SI"/>
    <m/>
    <s v="CON-009"/>
    <n v="80111600"/>
    <s v="Prestar servicios profesionales para dar cumplimiento al Programa de Auditorías y Plan de Trabajo de la oficina de Control Interno, vigencia 2023, aprobado por el Comité Institucional de Coordinación de Control Interno."/>
    <d v="2024-02-05T00:00:00"/>
    <d v="2024-02-05T00:00:00"/>
    <n v="10"/>
    <s v="MES(ES)"/>
    <s v="Contratación directa."/>
    <n v="48880000"/>
    <n v="48880000"/>
    <s v="NO"/>
    <s v="NA"/>
    <s v="GRUPO DE CONTRATACION UNIVERSIDAD PEDAGOGICA NACIONAL"/>
    <s v="CO-DC"/>
    <s v="OFICINA DE CONTROL INTERNO"/>
    <s v="601 5941844"/>
    <s v="contratacion@pedagogica.edu.co"/>
    <s v="NO"/>
    <s v="NO"/>
    <s v="No Aplica"/>
    <s v="Todas"/>
    <s v="Todos"/>
    <s v="No Aplica"/>
    <m/>
    <m/>
  </r>
  <r>
    <s v="010"/>
    <s v="GASTOS DE FUNCIONAMIENTO"/>
    <x v="0"/>
    <x v="3"/>
    <m/>
    <s v="Servicios Profesionales"/>
    <s v="CPS"/>
    <s v="PROFESIONAL UNIVERSITARIO"/>
    <n v="6"/>
    <n v="4200000"/>
    <n v="4.7619047619047672E-2"/>
    <n v="4400000"/>
    <n v="1"/>
    <s v="DIA"/>
    <d v="2024-02-05T00:00:00"/>
    <d v="2024-12-13T00:00:00"/>
    <s v="SI"/>
    <d v="2024-02-05T00:00:00"/>
    <d v="2024-12-13T00:00:00"/>
    <n v="45760000"/>
    <m/>
    <m/>
    <n v="0"/>
    <n v="10"/>
    <n v="45760000"/>
    <n v="46200000"/>
    <n v="-9.52380952380949E-3"/>
    <n v="52890082"/>
    <s v="YANNETH MILENA GUACA ARIAS"/>
    <n v="45760000"/>
    <s v="20.01"/>
    <s v="2.1.2.02.02.008"/>
    <s v="SI"/>
    <m/>
    <s v="CON-010"/>
    <n v="80111600"/>
    <s v="Prestar servicios profesionales  para dar cumplimiento al Programa de Auditorías y Plan de Trabajo vigencia 2023, aprobado por el Comité Institucional de Coordinación de Control Interno."/>
    <d v="2024-02-05T00:00:00"/>
    <d v="2024-02-05T00:00:00"/>
    <n v="10"/>
    <s v="MES(ES)"/>
    <s v="Contratación directa."/>
    <n v="45760000"/>
    <n v="45760000"/>
    <s v="NO"/>
    <s v="NA"/>
    <s v="GRUPO DE CONTRATACION UNIVERSIDAD PEDAGOGICA NACIONAL"/>
    <s v="CO-DC"/>
    <s v="OFICINA DE CONTROL INTERNO"/>
    <s v="601 5941844"/>
    <s v="contratacion@pedagogica.edu.co"/>
    <s v="NO"/>
    <s v="NO"/>
    <s v="No Aplica"/>
    <s v="Todas"/>
    <s v="Todos"/>
    <s v="No Aplica"/>
    <m/>
    <m/>
  </r>
  <r>
    <s v="011"/>
    <s v="GASTOS DE FUNCIONAMIENTO"/>
    <x v="0"/>
    <x v="4"/>
    <m/>
    <s v="Servicios de Asesoría Jurídica"/>
    <s v="Consultoría"/>
    <s v="ASESOR"/>
    <n v="6"/>
    <n v="9500000"/>
    <n v="6.0281513157894651E-2"/>
    <n v="10072674.375"/>
    <n v="1"/>
    <s v="DIA"/>
    <d v="2024-01-15T00:00:00"/>
    <d v="2024-12-20T00:00:00"/>
    <s v="SI"/>
    <d v="2024-01-11T00:00:00"/>
    <d v="2024-12-20T00:00:00"/>
    <n v="115499999.5"/>
    <m/>
    <m/>
    <n v="0"/>
    <n v="11"/>
    <n v="115499999.5"/>
    <n v="104500000"/>
    <n v="0.10526315311004786"/>
    <n v="52887262"/>
    <s v="MARTHA MIREYA PABON PÁEZ"/>
    <n v="115499999.5"/>
    <s v="20.01"/>
    <s v="2.1.2.02.02.008"/>
    <s v="SI"/>
    <m/>
    <s v="CON-011"/>
    <n v="80111600"/>
    <s v="Prestar servicios especializados en  representación y defensa judicial, asesoría y emisión de conceptos en los procesos promovidos o en contra de la UPN."/>
    <d v="2024-01-11T00:00:00"/>
    <d v="2024-01-11T00:00:00"/>
    <n v="11"/>
    <s v="MES(ES)"/>
    <s v="Contratación directa."/>
    <n v="115499999.5"/>
    <n v="115499999.5"/>
    <s v="NO"/>
    <s v="NA"/>
    <s v="GRUPO DE CONTRATACION UNIVERSIDAD PEDAGOGICA NACIONAL"/>
    <s v="CO-DC"/>
    <s v="OFICINA JURÍDICA "/>
    <s v="601 5941844"/>
    <s v="contratacion@pedagogica.edu.co"/>
    <s v="NO"/>
    <s v="NO"/>
    <s v="No Aplica"/>
    <s v="Todas"/>
    <s v="Todos"/>
    <s v="No Aplica"/>
    <m/>
    <m/>
  </r>
  <r>
    <s v="012"/>
    <s v="GASTOS DE FUNCIONAMIENTO"/>
    <x v="0"/>
    <x v="4"/>
    <m/>
    <s v="Servicios Profesionales"/>
    <s v="CPS"/>
    <s v="PROFESIONAL ESPECIALIZADO"/>
    <n v="4"/>
    <n v="5500000"/>
    <n v="3.6363636363636376E-2"/>
    <n v="5700000"/>
    <n v="1"/>
    <s v="DIA"/>
    <d v="2024-01-15T00:00:00"/>
    <d v="2024-12-13T00:00:00"/>
    <s v="SI"/>
    <d v="2024-01-15T00:00:00"/>
    <d v="2024-12-13T00:00:00"/>
    <n v="63270000"/>
    <m/>
    <m/>
    <n v="0"/>
    <n v="11"/>
    <n v="63270000"/>
    <n v="60500000"/>
    <n v="4.5785123966942232E-2"/>
    <n v="1075257863"/>
    <s v="DIEGO FERNANDO MARIN MONJE"/>
    <n v="63270000"/>
    <s v="20.01"/>
    <s v="2.1.2.02.02.008"/>
    <s v="SI"/>
    <m/>
    <s v="CON-012"/>
    <n v="80111600"/>
    <s v="Prestar servicios especializados de asesoría, acompañamiento y seguimiento de todas las actividades relacionadas con la gestión juridica que corresponden a la Oficina Jurídica de la UPN."/>
    <d v="2024-01-15T00:00:00"/>
    <d v="2024-01-15T00:00:00"/>
    <n v="11"/>
    <s v="MES(ES)"/>
    <s v="Contratación directa."/>
    <n v="63270000"/>
    <n v="63270000"/>
    <s v="NO"/>
    <s v="NA"/>
    <s v="GRUPO DE CONTRATACION UNIVERSIDAD PEDAGOGICA NACIONAL"/>
    <s v="CO-DC"/>
    <s v="OFICINA JURÍDICA "/>
    <s v="601 5941844"/>
    <s v="contratacion@pedagogica.edu.co"/>
    <s v="NO"/>
    <s v="NO"/>
    <s v="No Aplica"/>
    <s v="Todas"/>
    <s v="Todos"/>
    <s v="No Aplica"/>
    <m/>
    <m/>
  </r>
  <r>
    <m/>
    <s v="GASTOS DE FUNCIONAMIENTO"/>
    <x v="0"/>
    <x v="4"/>
    <m/>
    <s v="Servicios Profesionales"/>
    <s v="CPS"/>
    <s v="PROFESIONAL UNIVERSITARIO"/>
    <n v="3"/>
    <n v="3400000"/>
    <n v="5.8823529411764719E-2"/>
    <n v="3600000"/>
    <n v="1"/>
    <s v="DIA"/>
    <d v="2024-01-15T00:00:00"/>
    <d v="2024-12-13T00:00:00"/>
    <s v="SI"/>
    <d v="2024-01-22T00:00:00"/>
    <d v="2024-12-13T00:00:00"/>
    <n v="39120000"/>
    <m/>
    <m/>
    <n v="0"/>
    <n v="11"/>
    <n v="39120000"/>
    <n v="60500000"/>
    <n v="-0.35338842975206608"/>
    <m/>
    <m/>
    <n v="39120000"/>
    <s v="20.01"/>
    <s v="2.1.2.02.02.008"/>
    <s v="SI"/>
    <m/>
    <s v="CON-"/>
    <n v="80111600"/>
    <s v="Prestar servicios profesionales a la oficina jurídica y/o a la Vicerrectoría Académica para asistencia, asesoría y apoyo jurídico en los asuntos a su cargo, así como el acompañamiento a las dependencias adscritas"/>
    <d v="2024-01-22T00:00:00"/>
    <d v="2024-01-22T00:00:00"/>
    <n v="11"/>
    <s v="MES(ES)"/>
    <s v="Contratación directa."/>
    <n v="39120000"/>
    <n v="39120000"/>
    <s v="NO"/>
    <s v="NA"/>
    <s v="GRUPO DE CONTRATACION UNIVERSIDAD PEDAGOGICA NACIONAL"/>
    <s v="CO-DC"/>
    <s v="OFICINA JURÍDICA "/>
    <s v="601 5941844"/>
    <s v="contratacion@pedagogica.edu.co"/>
    <s v="NO"/>
    <s v="NO"/>
    <s v="No Aplica"/>
    <s v="Todas"/>
    <s v="Todos"/>
    <s v="No Aplica"/>
    <m/>
    <m/>
  </r>
  <r>
    <s v="013"/>
    <s v="GASTOS DE FUNCIONAMIENTO"/>
    <x v="0"/>
    <x v="5"/>
    <m/>
    <s v="Servicios Profesionales"/>
    <s v="CPS"/>
    <s v="PROFESIONAL ESPECIALIZADO"/>
    <n v="4"/>
    <n v="5500000"/>
    <n v="3.6363636363636376E-2"/>
    <n v="5700000"/>
    <n v="1"/>
    <s v="MENSUAL"/>
    <d v="2024-01-22T00:00:00"/>
    <d v="2024-12-13T00:00:00"/>
    <s v="NO"/>
    <d v="2024-02-12T00:00:00"/>
    <d v="2024-12-13T00:00:00"/>
    <n v="57000000"/>
    <m/>
    <m/>
    <n v="0"/>
    <n v="10"/>
    <n v="57000000"/>
    <n v="60500000"/>
    <n v="-5.7851239669421517E-2"/>
    <n v="52847314"/>
    <s v="MARÍA ANGELICA MARTINEZ VERGARA"/>
    <n v="57000000"/>
    <s v="20.01"/>
    <s v="2.1.2.02.02.008"/>
    <s v="SI"/>
    <m/>
    <s v="CON-013"/>
    <n v="80111600"/>
    <s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4"/>
    <s v="GASTOS DE FUNCIONAMIENTO"/>
    <x v="0"/>
    <x v="5"/>
    <m/>
    <s v="Servicios Profesionales"/>
    <s v="CPS"/>
    <s v="PROFESIONAL ESPECIALIZADO"/>
    <n v="4"/>
    <n v="5500000"/>
    <n v="3.6363636363636376E-2"/>
    <n v="5700000"/>
    <n v="1"/>
    <s v="MENSUAL"/>
    <d v="2024-02-05T00:00:00"/>
    <d v="2024-12-13T00:00:00"/>
    <s v="NO"/>
    <d v="2024-02-05T00:00:00"/>
    <d v="2024-12-13T00:00:00"/>
    <n v="57000000"/>
    <m/>
    <m/>
    <n v="0"/>
    <n v="10"/>
    <n v="57000000"/>
    <n v="60500000"/>
    <n v="-5.7851239669421517E-2"/>
    <n v="79894957"/>
    <s v="ANDREY URIEL VERGARA SANCHEZ"/>
    <n v="57000000"/>
    <s v="20.01"/>
    <s v="2.1.2.02.02.008"/>
    <s v="SI"/>
    <m/>
    <s v="CON-014"/>
    <n v="80111600"/>
    <s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5"/>
    <s v="GASTOS DE FUNCIONAMIENTO"/>
    <x v="0"/>
    <x v="5"/>
    <m/>
    <s v="Servicios Profesionales"/>
    <s v="CPS"/>
    <s v="PROFESIONAL ESPECIALIZADO"/>
    <n v="1"/>
    <n v="4500000"/>
    <n v="4.4444444444444509E-2"/>
    <n v="4700000"/>
    <n v="1"/>
    <s v="MENSUAL"/>
    <d v="2024-02-12T00:00:00"/>
    <d v="2024-11-30T00:00:00"/>
    <s v="NO"/>
    <d v="2024-02-12T00:00:00"/>
    <d v="2024-11-30T00:00:00"/>
    <n v="47000000"/>
    <m/>
    <m/>
    <n v="0"/>
    <n v="10"/>
    <n v="47000000"/>
    <n v="18200000"/>
    <n v="1.5824175824175826"/>
    <n v="1087992773"/>
    <s v="JULIAN ALEJANDRO PIEDRAHITA MONROY"/>
    <n v="47000000"/>
    <s v="20.01"/>
    <s v="2.1.2.02.02.008"/>
    <s v="SI"/>
    <m/>
    <s v="CON-015"/>
    <n v="80111600"/>
    <s v="Prestar servicios profesionales  a la Oficina de Desarrollo y Planeación en el desarrollo de tableros informativos e informes reproducibles con la información financiera oficial y diagnóstico del boletín estadístico de la UPN"/>
    <d v="2024-02-12T00:00:00"/>
    <d v="2024-02-12T00:00:00"/>
    <n v="10"/>
    <s v="MES(ES)"/>
    <s v="Contratación directa."/>
    <n v="47000000"/>
    <n v="47000000"/>
    <s v="NO"/>
    <s v="NA"/>
    <s v="GRUPO DE CONTRATACION UNIVERSIDAD PEDAGOGICA NACIONAL"/>
    <s v="CO-DC"/>
    <s v="OFICINA DE DESARROLLO Y PLANEACIÓN "/>
    <s v="601 5941844"/>
    <s v="contratacion@pedagogica.edu.co"/>
    <s v="NO"/>
    <s v="NO"/>
    <s v="No Aplica"/>
    <s v="Todas"/>
    <s v="Todos"/>
    <s v="No Aplica"/>
    <m/>
    <m/>
  </r>
  <r>
    <s v="016"/>
    <s v="GASTOS DE FUNCIONAMIENTO"/>
    <x v="0"/>
    <x v="5"/>
    <m/>
    <s v="Servicios Profesionales"/>
    <s v="CPS"/>
    <s v="PROFESIONAL ESPECIALIZADO"/>
    <n v="4"/>
    <n v="5500000"/>
    <n v="3.6363636363636376E-2"/>
    <n v="5700000"/>
    <n v="1"/>
    <s v="MENSUAL"/>
    <d v="2024-01-22T00:00:00"/>
    <d v="2024-12-13T00:00:00"/>
    <s v="SI"/>
    <d v="2024-01-22T00:00:00"/>
    <d v="2024-12-13T00:00:00"/>
    <n v="62700000"/>
    <m/>
    <m/>
    <n v="0"/>
    <n v="11"/>
    <n v="62700000"/>
    <m/>
    <n v="1"/>
    <m/>
    <s v="ANGUIE MILENA SANABRIA ARAGÓN"/>
    <n v="62700000"/>
    <s v="20.01"/>
    <s v="2.1.2.02.02.008"/>
    <s v="SI"/>
    <m/>
    <s v="CON-016"/>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7"/>
    <s v="GASTOS DE FUNCIONAMIENTO"/>
    <x v="0"/>
    <x v="5"/>
    <m/>
    <s v="Servicios Profesionales"/>
    <s v="CPS"/>
    <s v="PROFESIONAL ESPECIALIZADO"/>
    <n v="4"/>
    <n v="5500000"/>
    <n v="3.6363636363636376E-2"/>
    <n v="5700000"/>
    <n v="1"/>
    <s v="MENSUAL"/>
    <d v="2024-01-15T00:00:00"/>
    <d v="2024-12-13T00:00:00"/>
    <s v="SI"/>
    <d v="2024-01-22T00:00:00"/>
    <d v="2024-12-13T00:00:00"/>
    <n v="62700000"/>
    <m/>
    <m/>
    <n v="0"/>
    <n v="11"/>
    <n v="62700000"/>
    <m/>
    <n v="1"/>
    <m/>
    <s v="SANDRA MILENA AZCARATE ZULUAGA"/>
    <n v="62700000"/>
    <s v="20.01"/>
    <s v="2.1.2.02.02.008"/>
    <s v="SI"/>
    <m/>
    <s v="CON-017"/>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8"/>
    <s v="GASTOS DE FUNCIONAMIENTO"/>
    <x v="0"/>
    <x v="5"/>
    <m/>
    <s v="Servicios Profesionales"/>
    <s v="CPS"/>
    <s v="PROFESIONAL ESPECIALIZADO"/>
    <n v="4"/>
    <n v="5500000"/>
    <n v="3.6363636363636376E-2"/>
    <n v="5700000"/>
    <n v="1"/>
    <s v="MENSUAL"/>
    <d v="2024-01-15T00:00:00"/>
    <d v="2024-12-13T00:00:00"/>
    <s v="NO"/>
    <d v="2024-02-12T00:00:00"/>
    <d v="2024-12-13T00:00:00"/>
    <n v="57000000"/>
    <m/>
    <m/>
    <n v="0"/>
    <n v="10"/>
    <n v="57000000"/>
    <m/>
    <n v="1"/>
    <m/>
    <s v="LUZ DARY URREGO PAEZ "/>
    <n v="57000000"/>
    <s v="20.01"/>
    <s v="2.1.2.02.02.008"/>
    <s v="SI"/>
    <m/>
    <s v="CON-018"/>
    <n v="80111600"/>
    <s v="Prestar servicios profesionales a la Oficina de Desarrollo y Planeación  para apoyar la actualización de los proyectos de inversión con metodologías de marco lógico que permitan la gestión de recursos de diferentes fuentes."/>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9"/>
    <s v="GASTOS DE FUNCIONAMIENTO"/>
    <x v="0"/>
    <x v="5"/>
    <m/>
    <s v="Servicios Profesionales"/>
    <s v="CPS"/>
    <s v="ASESOR"/>
    <n v="5"/>
    <n v="9000000"/>
    <n v="2.2222222222222143E-2"/>
    <n v="9200000"/>
    <n v="1"/>
    <s v="MENSUAL"/>
    <d v="2024-02-05T00:00:00"/>
    <d v="2024-08-31T00:00:00"/>
    <s v="NO"/>
    <d v="2024-02-05T00:00:00"/>
    <d v="2024-08-31T00:00:00"/>
    <n v="64400000"/>
    <m/>
    <m/>
    <n v="0"/>
    <n v="7"/>
    <n v="64400000"/>
    <m/>
    <n v="1"/>
    <m/>
    <s v="ANA JUVINAO"/>
    <n v="64400000"/>
    <s v="20.01"/>
    <s v="2.1.2.02.02.008"/>
    <s v="SI"/>
    <m/>
    <s v="CON-019"/>
    <n v="80111600"/>
    <s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
    <d v="2024-02-05T00:00:00"/>
    <d v="2024-02-05T00:00:00"/>
    <n v="7"/>
    <s v="MES(ES)"/>
    <s v="Contratación directa."/>
    <n v="64400000"/>
    <n v="64400000"/>
    <s v="NO"/>
    <s v="NA"/>
    <s v="GRUPO DE CONTRATACION UNIVERSIDAD PEDAGOGICA NACIONAL"/>
    <s v="CO-DC"/>
    <s v="OFICINA DE DESARROLLO Y PLANEACIÓN "/>
    <s v="601 5941844"/>
    <s v="contratacion@pedagogica.edu.co"/>
    <s v="NO"/>
    <s v="NO"/>
    <s v="No Aplica"/>
    <s v="Todas"/>
    <s v="Todos"/>
    <s v="No Aplica"/>
    <m/>
    <m/>
  </r>
  <r>
    <s v="020"/>
    <s v="GASTOS DE FUNCIONAMIENTO"/>
    <x v="0"/>
    <x v="5"/>
    <m/>
    <s v="Servicios Profesionales"/>
    <s v="CPS"/>
    <s v="PROFESIONAL ESPECIALIZADO"/>
    <n v="4"/>
    <n v="5500000"/>
    <n v="3.6363636363636376E-2"/>
    <n v="5700000"/>
    <n v="1"/>
    <s v="MENSUAL"/>
    <d v="2024-01-22T00:00:00"/>
    <d v="2024-12-13T00:00:00"/>
    <s v="NO"/>
    <d v="2024-02-05T00:00:00"/>
    <d v="2024-12-13T00:00:00"/>
    <n v="57000000"/>
    <m/>
    <m/>
    <n v="0"/>
    <n v="10"/>
    <n v="57000000"/>
    <m/>
    <n v="1"/>
    <m/>
    <s v="MARIA ALEJANDRA JIMENEZ AMAYA"/>
    <n v="57000000"/>
    <s v="20.01"/>
    <s v="2.1.2.02.02.008"/>
    <s v="SI"/>
    <m/>
    <s v="CON-020"/>
    <n v="80111600"/>
    <s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21"/>
    <s v="GASTOS DE FUNCIONAMIENTO"/>
    <x v="0"/>
    <x v="5"/>
    <m/>
    <s v="Servicios Profesionales"/>
    <s v="CPS"/>
    <s v="PROFESIONAL ESPECIALIZADO"/>
    <n v="4"/>
    <n v="5000000"/>
    <n v="0.1399999999999999"/>
    <n v="5700000"/>
    <n v="1"/>
    <s v="MENSUAL"/>
    <d v="2024-02-05T00:00:00"/>
    <d v="2024-12-13T00:00:00"/>
    <s v="SI"/>
    <d v="2024-01-22T00:00:00"/>
    <d v="2024-12-13T00:00:00"/>
    <n v="62700000"/>
    <m/>
    <m/>
    <n v="0"/>
    <n v="11"/>
    <n v="62700000"/>
    <m/>
    <n v="1"/>
    <n v="52080684"/>
    <s v="ARIAS BECERRA MARTHA LILIANA"/>
    <n v="62700000"/>
    <s v="20.01"/>
    <s v="2.1.2.02.02.008"/>
    <s v="SI"/>
    <m/>
    <s v="CON-021"/>
    <n v="80111600"/>
    <s v="Prestar servicios profesionales de apoyo a la Oficina de Desarrollo y Planeación en la revisión y actualización de los procedimientos de la Universidad Pedagógica Nacional, así como en actividades de asistencia técnica que conlleven a fortalecer el Sistema de Gestión Integral en los procesos y dependencias de la univesidad."/>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22"/>
    <s v="GASTOS DE FUNCIONAMIENTO"/>
    <x v="0"/>
    <x v="5"/>
    <m/>
    <s v="Servicios Profesionales"/>
    <s v="CPS"/>
    <s v="PROFESIONAL ESPECIALIZADO"/>
    <n v="3"/>
    <m/>
    <n v="1"/>
    <n v="5350000"/>
    <n v="1"/>
    <s v="DIA"/>
    <d v="2024-02-12T00:00:00"/>
    <d v="2024-11-30T00:00:00"/>
    <s v="NO"/>
    <d v="2024-02-12T00:00:00"/>
    <d v="2024-11-30T00:00:00"/>
    <n v="52073333.333333328"/>
    <m/>
    <m/>
    <n v="0"/>
    <n v="10"/>
    <n v="52073333.333333328"/>
    <m/>
    <n v="1"/>
    <m/>
    <s v="XX"/>
    <n v="52073333.333333328"/>
    <s v="20.01"/>
    <s v="2.1.2.02.02.008"/>
    <s v="SI"/>
    <m/>
    <s v="CON-022"/>
    <n v="80111600"/>
    <s v="Prestar servicios profesionales de apoyo y asistencia técnica a la Oficina de Desarrollo y Planeación para gestión de herramientas que faciliten la sistematización y analisis de la información oficial de la Universidad"/>
    <d v="2024-02-12T00:00:00"/>
    <d v="2024-02-12T00:00:00"/>
    <n v="10"/>
    <s v="MES(ES)"/>
    <s v="Contratación directa."/>
    <n v="52073333.333333328"/>
    <n v="52073333.333333328"/>
    <s v="NO"/>
    <s v="NA"/>
    <s v="GRUPO DE CONTRATACION UNIVERSIDAD PEDAGOGICA NACIONAL"/>
    <s v="CO-DC"/>
    <s v="OFICINA DE DESARROLLO Y PLANEACIÓN "/>
    <s v="601 5941844"/>
    <s v="contratacion@pedagogica.edu.co"/>
    <s v="NO"/>
    <s v="NO"/>
    <s v="No Aplica"/>
    <s v="Todas"/>
    <s v="Todos"/>
    <s v="No Aplica"/>
    <m/>
    <m/>
  </r>
  <r>
    <s v="023"/>
    <s v="GASTOS DE FUNCIONAMIENTO"/>
    <x v="0"/>
    <x v="5"/>
    <m/>
    <s v="Servicios Profesionales"/>
    <s v="CPS"/>
    <s v="PROFESIONAL ESPECIALIZADO"/>
    <n v="2"/>
    <m/>
    <n v="1"/>
    <n v="5000000"/>
    <n v="1"/>
    <s v="DIA"/>
    <d v="2024-02-12T00:00:00"/>
    <d v="2024-11-30T00:00:00"/>
    <s v="NO"/>
    <d v="2024-02-12T00:00:00"/>
    <d v="2024-11-30T00:00:00"/>
    <n v="48666666.666666664"/>
    <m/>
    <m/>
    <n v="0"/>
    <n v="10"/>
    <n v="48666666.666666664"/>
    <m/>
    <n v="1"/>
    <m/>
    <s v="XX"/>
    <n v="48666666.666666664"/>
    <s v="20.01"/>
    <s v="2.1.2.02.02.008"/>
    <s v="SI"/>
    <m/>
    <s v="CON-023"/>
    <n v="80111600"/>
    <s v="Prestar servicios profesionales de apoyo a la ODP en el desarrollo de heramientas que consoliden los procesos de autoevaluacion institucional y de los programas academicos"/>
    <d v="2024-02-12T00:00:00"/>
    <d v="2024-02-12T00:00:00"/>
    <n v="10"/>
    <s v="MES(ES)"/>
    <s v="Contratación directa."/>
    <n v="48666666.666666664"/>
    <n v="48666666.666666664"/>
    <s v="NO"/>
    <s v="NA"/>
    <s v="GRUPO DE CONTRATACION UNIVERSIDAD PEDAGOGICA NACIONAL"/>
    <s v="CO-DC"/>
    <s v="OFICINA DE DESARROLLO Y PLANEACIÓN "/>
    <s v="601 5941844"/>
    <s v="contratacion@pedagogica.edu.co"/>
    <s v="NO"/>
    <s v="NO"/>
    <s v="No Aplica"/>
    <s v="Todas"/>
    <s v="Todos"/>
    <s v="No Aplica"/>
    <m/>
    <m/>
  </r>
  <r>
    <s v="024"/>
    <s v="GASTOS DE FUNCIONAMIENTO"/>
    <x v="0"/>
    <x v="5"/>
    <m/>
    <m/>
    <s v="Consultoría"/>
    <s v="OTRO"/>
    <m/>
    <n v="3282647.4545454546"/>
    <n v="0.10000000000000009"/>
    <n v="3610912.2"/>
    <n v="1"/>
    <s v="MENSUAL"/>
    <d v="2024-02-05T00:00:00"/>
    <d v="2024-12-20T00:00:00"/>
    <s v="SI"/>
    <d v="2024-02-05T00:00:00"/>
    <d v="2024-12-20T00:00:00"/>
    <n v="39720034.200000003"/>
    <m/>
    <m/>
    <n v="0"/>
    <n v="11"/>
    <n v="39720034.200000003"/>
    <n v="36109122"/>
    <n v="0.10000000000000009"/>
    <m/>
    <s v="BRC"/>
    <n v="39720034.200000003"/>
    <s v="20.01"/>
    <s v="2.1.2.02.02.008"/>
    <s v="SI"/>
    <m/>
    <s v="CON-024"/>
    <s v="80101500_x000a_841117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4-02-05T00:00:00"/>
    <d v="2024-02-05T00:00:00"/>
    <n v="11"/>
    <s v="MES(ES)"/>
    <s v="Contratación directa."/>
    <n v="39720034.200000003"/>
    <n v="39720034.200000003"/>
    <s v="NO"/>
    <s v="NA"/>
    <s v="GRUPO DE CONTRATACION UNIVERSIDAD PEDAGOGICA NACIONAL"/>
    <s v="CO-DC"/>
    <s v="OFICINA DE DESARROLLO Y PLANEACIÓN "/>
    <s v="601 5941844"/>
    <s v="contratacion@pedagogica.edu.co"/>
    <s v="NO"/>
    <s v="NO"/>
    <s v="No Aplica"/>
    <s v="Todas"/>
    <s v="Todos"/>
    <s v="No Aplica"/>
    <m/>
    <m/>
  </r>
  <r>
    <s v="025"/>
    <s v="GASTOS DE FUNCIONAMIENTO"/>
    <x v="0"/>
    <x v="5"/>
    <m/>
    <m/>
    <s v="Consultoría"/>
    <s v="OTRO"/>
    <m/>
    <n v="1454449.1729803635"/>
    <n v="0.10000000000000009"/>
    <n v="1599894.0902783999"/>
    <n v="1"/>
    <s v="MENSUAL"/>
    <d v="2024-02-05T00:00:00"/>
    <d v="2024-12-20T00:00:00"/>
    <s v="SI"/>
    <d v="2024-02-05T00:00:00"/>
    <d v="2024-12-20T00:00:00"/>
    <n v="17598834.993062399"/>
    <m/>
    <m/>
    <n v="0"/>
    <n v="11"/>
    <n v="17598834.993062399"/>
    <n v="15998940.902783997"/>
    <n v="0.10000000000000009"/>
    <m/>
    <s v="ICONTEC"/>
    <n v="17598834.993062399"/>
    <s v="20.01"/>
    <s v="2.1.2.02.02.008"/>
    <s v="SI"/>
    <m/>
    <s v="CON-025"/>
    <n v="84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4-02-05T00:00:00"/>
    <d v="2024-02-05T00:00:00"/>
    <n v="11"/>
    <s v="MES(ES)"/>
    <s v="Contratación directa."/>
    <n v="17598834.993062399"/>
    <n v="17598834.993062399"/>
    <s v="NO"/>
    <s v="NA"/>
    <s v="GRUPO DE CONTRATACION UNIVERSIDAD PEDAGOGICA NACIONAL"/>
    <s v="CO-DC"/>
    <s v="OFICINA DE DESARROLLO Y PLANEACIÓN "/>
    <s v="601 5941844"/>
    <s v="contratacion@pedagogica.edu.co"/>
    <s v="NO"/>
    <s v="NO"/>
    <s v="No Aplica"/>
    <s v="Todas"/>
    <s v="Todos"/>
    <s v="No Aplica"/>
    <m/>
    <m/>
  </r>
  <r>
    <s v="026"/>
    <s v="GASTOS DE FUNCIONAMIENTO"/>
    <x v="0"/>
    <x v="6"/>
    <m/>
    <s v="Servicios Profesionales"/>
    <s v="CPS"/>
    <s v="PROFESIONAL ESPECIALIZADO"/>
    <n v="4"/>
    <n v="5500000"/>
    <n v="3.6363636363636376E-2"/>
    <n v="5700000"/>
    <n v="1"/>
    <s v="DIA"/>
    <d v="2024-02-12T00:00:00"/>
    <d v="2024-12-13T00:00:00"/>
    <s v="NO"/>
    <d v="2024-02-12T00:00:00"/>
    <d v="2024-12-13T00:00:00"/>
    <n v="57950000"/>
    <m/>
    <m/>
    <n v="0"/>
    <n v="10"/>
    <n v="57950000"/>
    <n v="55000000"/>
    <n v="5.3636363636363704E-2"/>
    <n v="1018411262"/>
    <s v="PINILLOS RODRIGUEZ OSCAR JAVIER"/>
    <n v="57950000"/>
    <s v="20.01"/>
    <s v="2.1.2.02.02.008"/>
    <s v="SI"/>
    <m/>
    <s v="CON-026"/>
    <n v="80111600"/>
    <s v="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
    <d v="2024-02-12T00:00:00"/>
    <d v="2024-02-12T00:00:00"/>
    <n v="10"/>
    <s v="MES(ES)"/>
    <s v="Contratación directa."/>
    <n v="57950000"/>
    <n v="57950000"/>
    <s v="NO"/>
    <s v="NA"/>
    <s v="GRUPO DE CONTRATACION UNIVERSIDAD PEDAGOGICA NACIONAL"/>
    <s v="CO-DC"/>
    <s v="ORI"/>
    <s v="601 5941844"/>
    <s v="contratacion@pedagogica.edu.co"/>
    <s v="NO"/>
    <s v="NO"/>
    <s v="No Aplica"/>
    <s v="Todas"/>
    <s v="Todos"/>
    <s v="No Aplica"/>
    <m/>
    <m/>
  </r>
  <r>
    <s v="027"/>
    <s v="GASTOS DE FUNCIONAMIENTO"/>
    <x v="0"/>
    <x v="7"/>
    <m/>
    <s v="Servicios Profesionales"/>
    <s v="CPS"/>
    <s v="PROFESIONAL UNIVERSITARIO"/>
    <n v="6"/>
    <n v="4200000"/>
    <n v="4.7619047619047672E-2"/>
    <n v="4400000"/>
    <n v="1"/>
    <s v="DIA"/>
    <d v="2024-02-05T00:00:00"/>
    <d v="2024-12-20T00:00:00"/>
    <s v="SI"/>
    <d v="2024-02-05T00:00:00"/>
    <d v="2024-12-20T00:00:00"/>
    <n v="46786666.666666664"/>
    <m/>
    <m/>
    <n v="0"/>
    <n v="11"/>
    <n v="46786666.666666664"/>
    <n v="42000000"/>
    <n v="0.11396825396825383"/>
    <n v="52312543"/>
    <s v="KARIN LUCERO QUIÑONES MALAVER"/>
    <n v="46786666.666666664"/>
    <s v="20.01"/>
    <s v="2.1.2.02.02.008"/>
    <s v="SI"/>
    <m/>
    <s v="CON-027"/>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4-02-05T00:00:00"/>
    <d v="2024-02-05T00:00:00"/>
    <n v="11"/>
    <s v="MES(ES)"/>
    <s v="Contratación directa."/>
    <n v="46786666.666666664"/>
    <n v="46786666.666666664"/>
    <s v="NO"/>
    <s v="NA"/>
    <s v="GRUPO DE CONTRATACION UNIVERSIDAD PEDAGOGICA NACIONAL"/>
    <s v="CO-DC"/>
    <s v="ASEGURAMIENTO DE LA CALIDAD"/>
    <s v="601 5941844"/>
    <s v="contratacion@pedagogica.edu.co"/>
    <s v="NO"/>
    <s v="NO"/>
    <s v="No Aplica"/>
    <s v="Todas"/>
    <s v="Todos"/>
    <s v="No Aplica"/>
    <m/>
    <m/>
  </r>
  <r>
    <s v="028"/>
    <s v="GASTOS DE FUNCIONAMIENTO"/>
    <x v="1"/>
    <x v="8"/>
    <m/>
    <s v="Servicios Profesionales"/>
    <s v="CPS"/>
    <s v="PROFESIONAL UNIVERSITARIO"/>
    <n v="6"/>
    <n v="4200000"/>
    <n v="4.7619047619047672E-2"/>
    <n v="4400000"/>
    <n v="1"/>
    <s v="DIA"/>
    <d v="2024-02-05T00:00:00"/>
    <d v="2024-11-30T00:00:00"/>
    <s v="SI"/>
    <d v="2024-02-05T00:00:00"/>
    <d v="2024-11-30T00:00:00"/>
    <n v="43853333.333333336"/>
    <m/>
    <m/>
    <n v="0"/>
    <n v="10"/>
    <n v="43853333.333333336"/>
    <n v="55000000"/>
    <n v="-0.20266666666666666"/>
    <n v="1022374467"/>
    <s v="ANA CECILIA ESCOBAR RAMÍREZ"/>
    <n v="43853333.333333336"/>
    <s v="20.01"/>
    <s v="2.1.2.02.02.008"/>
    <s v="SI"/>
    <m/>
    <s v="CON-028"/>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d v="2024-02-05T00:00:00"/>
    <d v="2024-02-05T00:00:00"/>
    <n v="10"/>
    <s v="MES(ES)"/>
    <s v="Contratación directa."/>
    <n v="43853333.333333336"/>
    <n v="43853333.333333336"/>
    <s v="NO"/>
    <s v="NA"/>
    <s v="GRUPO DE CONTRATACION UNIVERSIDAD PEDAGOGICA NACIONAL"/>
    <s v="CO-DC"/>
    <s v="DESPACHO VAC"/>
    <s v="601 5941844"/>
    <s v="contratacion@pedagogica.edu.co"/>
    <s v="NO"/>
    <s v="NO"/>
    <s v="No Aplica"/>
    <s v="Todas"/>
    <s v="Todos"/>
    <s v="No Aplica"/>
    <m/>
    <m/>
  </r>
  <r>
    <s v="029"/>
    <s v="GASTOS DE FUNCIONAMIENTO"/>
    <x v="1"/>
    <x v="8"/>
    <m/>
    <s v="Servicios Profesionales"/>
    <s v="CPS"/>
    <s v="PROFESIONAL ESPECIALIZADO"/>
    <n v="4"/>
    <n v="5500000"/>
    <n v="3.6363636363636376E-2"/>
    <n v="5700000"/>
    <n v="1"/>
    <s v="DIA"/>
    <d v="2024-02-05T00:00:00"/>
    <d v="2024-12-13T00:00:00"/>
    <s v="SI"/>
    <d v="2024-02-05T00:00:00"/>
    <d v="2024-12-13T00:00:00"/>
    <n v="59280000"/>
    <m/>
    <m/>
    <n v="0"/>
    <n v="10"/>
    <n v="59280000"/>
    <n v="42000000"/>
    <n v="0.41142857142857148"/>
    <n v="21066255"/>
    <s v="MARIA DEL PILAR UNDA BERNAL"/>
    <n v="59280000"/>
    <s v="20.01"/>
    <s v="2.1.2.02.02.008"/>
    <s v="SI"/>
    <m/>
    <s v="CON-029"/>
    <n v="80111600"/>
    <s v="Prestar el servicio profesional para asesorar a la Vicerrectoría Académica en la elaboración de propuestas asociadas al PEI, en la línea de construcción de comunidades de saber pedagógico en articulación con otros saberes."/>
    <d v="2024-02-05T00:00:00"/>
    <d v="2024-02-05T00:00:00"/>
    <n v="10"/>
    <s v="MES(ES)"/>
    <s v="Contratación directa."/>
    <n v="59280000"/>
    <n v="59280000"/>
    <s v="NO"/>
    <s v="NA"/>
    <s v="GRUPO DE CONTRATACION UNIVERSIDAD PEDAGOGICA NACIONAL"/>
    <s v="CO-DC"/>
    <s v="DESPACHO VAC"/>
    <s v="601 5941844"/>
    <s v="contratacion@pedagogica.edu.co"/>
    <s v="NO"/>
    <s v="NO"/>
    <s v="No Aplica"/>
    <s v="Todas"/>
    <s v="Todos"/>
    <s v="No Aplica"/>
    <m/>
    <m/>
  </r>
  <r>
    <s v="030"/>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000000"/>
    <n v="6.507936507936507E-2"/>
    <n v="1020734290"/>
    <s v="LAURA ALEXANDRA CHAVEZ ROJAS"/>
    <n v="44733333.333333328"/>
    <s v="20.01"/>
    <s v="2.1.2.02.02.008"/>
    <s v="SI"/>
    <m/>
    <s v="CON-030"/>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1"/>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32465025"/>
    <s v="LIDIA YOLANDA BARRANTES SUAREZ"/>
    <n v="44733333.333333328"/>
    <s v="20.01"/>
    <s v="2.1.2.02.02.008"/>
    <s v="SI"/>
    <m/>
    <s v="CON-031"/>
    <n v="80111600"/>
    <s v="Prestar servicios profesionales para desarrollar contenidos radiales y apoyar las distintas fases del proceso de producción radial junto con la locución y realización de entrevistas, cubrimientos, actividades y selección musical. "/>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2"/>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17175193"/>
    <s v="MARIO ALFONSO HENRÍQUEZ ROMERO"/>
    <n v="44733333.333333328"/>
    <s v="20.01"/>
    <s v="2.1.2.02.02.008"/>
    <s v="SI"/>
    <m/>
    <s v="CON-032"/>
    <n v="80111600"/>
    <s v="Prestar servicios profesionales para manejar diferentes herramientas de grabación, producción, transmisión y edición de audio para proyectos, contenidos audiovisuales de la emisora y actividades dentro y fuera de estudio, al igual que programar los contenid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4"/>
    <s v="GASTOS DE FUNCIONAMIENTO"/>
    <x v="1"/>
    <x v="8"/>
    <m/>
    <s v="Evaluadores - Conferencistas"/>
    <s v="Consultoría"/>
    <s v="OTRO"/>
    <m/>
    <n v="3524018.5909090908"/>
    <n v="0.10000000000000009"/>
    <n v="3876420.45"/>
    <n v="1"/>
    <s v="MENSUAL"/>
    <d v="2024-01-22T00:00:00"/>
    <d v="2024-12-13T00:00:00"/>
    <s v="SI"/>
    <d v="2024-01-22T00:00:00"/>
    <d v="2024-12-13T00:00:00"/>
    <n v="42640624.950000003"/>
    <m/>
    <m/>
    <n v="0"/>
    <n v="11"/>
    <n v="42640624.950000003"/>
    <n v="38764204.5"/>
    <n v="0.10000000000000009"/>
    <m/>
    <s v="Varios"/>
    <n v="42640624.950000003"/>
    <s v="20.01"/>
    <s v="2.1.2.02.02.009"/>
    <s v="SI"/>
    <m/>
    <s v="CON-034"/>
    <n v="80111600"/>
    <s v="Garantizar el pago de honorarios para conferencistas y evaluadores requeridos por las diferentes Facultades a traves de los programas academicos y demás Grupos de Trabajo, en el marco de las  actividades previstas por la Vicerrectoria Académica"/>
    <d v="2024-01-22T00:00:00"/>
    <d v="2024-01-22T00:00:00"/>
    <n v="11"/>
    <s v="MES(ES)"/>
    <s v="Contratación directa."/>
    <n v="42640624.950000003"/>
    <n v="42640624.950000003"/>
    <s v="NO"/>
    <s v="NA"/>
    <s v="GRUPO DE CONTRATACION UNIVERSIDAD PEDAGOGICA NACIONAL"/>
    <s v="CO-DC"/>
    <s v="DESPACHO VAC"/>
    <s v="601 5941844"/>
    <s v="contratacion@pedagogica.edu.co"/>
    <s v="NO"/>
    <s v="NO"/>
    <s v="No Aplica"/>
    <s v="Todas"/>
    <s v="Todos"/>
    <s v="No Aplica"/>
    <m/>
    <m/>
  </r>
  <r>
    <s v="035"/>
    <s v="GASTOS DE FUNCIONAMIENTO"/>
    <x v="1"/>
    <x v="9"/>
    <m/>
    <s v="Servicios Profesionales"/>
    <s v="CPS"/>
    <s v="PROFESIONAL ESPECIALIZADO"/>
    <n v="1"/>
    <n v="4550000"/>
    <n v="3.2967032967033072E-2"/>
    <n v="4700000"/>
    <n v="1"/>
    <s v="DIA"/>
    <d v="2024-02-05T00:00:00"/>
    <d v="2024-12-13T00:00:00"/>
    <s v="SI"/>
    <d v="2024-02-05T00:00:00"/>
    <d v="2024-12-13T00:00:00"/>
    <n v="48880000"/>
    <m/>
    <m/>
    <n v="0"/>
    <n v="10"/>
    <n v="48880000"/>
    <n v="48078333.333333336"/>
    <n v="1.6674177557458369E-2"/>
    <n v="18001226"/>
    <s v="RENE GABRIEL CALDERON LUNG"/>
    <n v="48880000"/>
    <s v="20.01"/>
    <s v="2.1.2.02.02.008"/>
    <s v="SI"/>
    <m/>
    <s v="CON-035"/>
    <n v="80111600"/>
    <s v="Liderar el proceso de implementación y puesta en marcha del nuevo sistema académico Class, para la Subdirección de Admisiones y Registro, considerando la transición y paralelo con los sistemas antiguos en los procesos y sus usuarios."/>
    <d v="2024-02-05T00:00:00"/>
    <d v="2024-02-05T00:00:00"/>
    <n v="10"/>
    <s v="MES(ES)"/>
    <s v="Contratación directa."/>
    <n v="48880000"/>
    <n v="48880000"/>
    <s v="NO"/>
    <s v="NA"/>
    <s v="GRUPO DE CONTRATACION UNIVERSIDAD PEDAGOGICA NACIONAL"/>
    <s v="CO-DC"/>
    <s v="SUBDIRECCIÓN DE ADMISIONES Y REGISTRO"/>
    <s v="601 5941844"/>
    <s v="contratacion@pedagogica.edu.co"/>
    <s v="NO"/>
    <s v="NO"/>
    <s v="No Aplica"/>
    <s v="Todas"/>
    <s v="Todos"/>
    <s v="No Aplica"/>
    <m/>
    <m/>
  </r>
  <r>
    <s v="036"/>
    <s v="GASTOS DE FUNCIONAMIENTO"/>
    <x v="1"/>
    <x v="9"/>
    <m/>
    <s v="Servicios Profesionales"/>
    <s v="CPS"/>
    <s v="PROFESIONAL ESPECIALIZADO"/>
    <n v="3"/>
    <n v="5000000"/>
    <n v="7.0000000000000062E-2"/>
    <n v="5350000"/>
    <n v="1"/>
    <s v="DIA"/>
    <d v="2024-02-05T00:00:00"/>
    <d v="2024-12-13T00:00:00"/>
    <s v="SI"/>
    <d v="2024-02-05T00:00:00"/>
    <d v="2024-12-13T00:00:00"/>
    <n v="55640000"/>
    <m/>
    <m/>
    <n v="0"/>
    <n v="10"/>
    <n v="55640000"/>
    <n v="52833333.333333336"/>
    <n v="5.3123028391167226E-2"/>
    <n v="19370679"/>
    <s v="MAURICIO ANTONIO CASTILLO MELO"/>
    <n v="55640000"/>
    <s v="20.01"/>
    <s v="2.1.2.02.02.008"/>
    <s v="SI"/>
    <m/>
    <s v="CON-03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d v="2024-02-05T00:00:00"/>
    <d v="2024-02-05T00:00:00"/>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s v="037"/>
    <s v="GASTOS DE FUNCIONAMIENTO"/>
    <x v="1"/>
    <x v="10"/>
    <m/>
    <s v="Evaluadores - Conferencistas"/>
    <s v="Consultoría"/>
    <s v="OTRO"/>
    <m/>
    <n v="3610558.6871454548"/>
    <n v="0.87450214397452464"/>
    <n v="6768000"/>
    <n v="1"/>
    <s v="MENSUAL"/>
    <d v="2024-02-05T00:00:00"/>
    <d v="2024-12-13T00:00:00"/>
    <s v="SI"/>
    <d v="2024-02-05T00:00:00"/>
    <d v="2024-12-13T00:00:00"/>
    <n v="67680000"/>
    <m/>
    <m/>
    <n v="0"/>
    <n v="10"/>
    <n v="67680000"/>
    <n v="39716145.558600001"/>
    <n v="0.70409285815865874"/>
    <m/>
    <s v="VARIOS"/>
    <n v="67680000"/>
    <s v="20.01"/>
    <s v="2.1.2.02.02.009"/>
    <s v="SI"/>
    <m/>
    <s v="CON-037"/>
    <n v="80111600"/>
    <s v="Contratar el servicio de evaluadores de la productividad académica presentada por los docentes de planta de la Universidad Pedagógica Nacional, susceptible de puntos salariales o ascensos de categoría."/>
    <d v="2024-02-05T00:00:00"/>
    <d v="2024-02-05T00:00:00"/>
    <n v="10"/>
    <s v="MES(ES)"/>
    <s v="Contratación directa."/>
    <n v="67680000"/>
    <n v="67680000"/>
    <s v="NO"/>
    <s v="NA"/>
    <s v="GRUPO DE CONTRATACION UNIVERSIDAD PEDAGOGICA NACIONAL"/>
    <s v="CO-DC"/>
    <s v="COMITÉ DE ASIGNACION Y RECONOCIMIENTO DE  PUNTAJE - CIARP"/>
    <s v="601 5941844"/>
    <s v="contratacion@pedagogica.edu.co"/>
    <s v="NO"/>
    <s v="NO"/>
    <s v="No Aplica"/>
    <s v="Todas"/>
    <s v="Todos"/>
    <s v="No Aplica"/>
    <m/>
    <m/>
  </r>
  <r>
    <s v="039"/>
    <s v="GASTOS DE FUNCIONAMIENTO"/>
    <x v="1"/>
    <x v="11"/>
    <m/>
    <s v="Evaluadores - Conferencistas"/>
    <s v="Consultoría"/>
    <s v="OTRO"/>
    <m/>
    <n v="7287254.4545454541"/>
    <n v="0.1080000000000001"/>
    <n v="8074277.9356363639"/>
    <n v="1"/>
    <s v="MENSUAL"/>
    <d v="2024-01-22T00:00:00"/>
    <d v="2024-12-06T00:00:00"/>
    <s v="SI"/>
    <d v="2024-01-22T00:00:00"/>
    <d v="2024-12-06T00:00:00"/>
    <n v="88817057.291999996"/>
    <m/>
    <m/>
    <n v="0"/>
    <n v="11"/>
    <n v="88817057.291999996"/>
    <n v="80159799"/>
    <n v="0.10799999999999987"/>
    <m/>
    <s v="VARIOS"/>
    <n v="88817057.291999996"/>
    <s v="20.01"/>
    <s v="2.1.2.02.02.009"/>
    <s v="SI"/>
    <m/>
    <s v="CON-039"/>
    <n v="80111600"/>
    <s v="Contratar el servicio de evaluadores de proyectos y tesis de doctorado y garantizar bonificaciones a expertos nacionales e internacionales, e invitados a seminarios doctorales."/>
    <d v="2024-01-22T00:00:00"/>
    <d v="2024-01-22T00:00:00"/>
    <n v="11"/>
    <s v="MES(ES)"/>
    <s v="Contratación directa."/>
    <n v="88817057.291999996"/>
    <n v="88817057.291999996"/>
    <s v="NO"/>
    <s v="NA"/>
    <s v="GRUPO DE CONTRATACION UNIVERSIDAD PEDAGOGICA NACIONAL"/>
    <s v="CO-DC"/>
    <s v="DOCTORADO INTERINSTITUCIONAL EN EDUCACIÓN"/>
    <s v="601 5941844"/>
    <s v="contratacion@pedagogica.edu.co"/>
    <s v="NO"/>
    <s v="NO"/>
    <s v="No Aplica"/>
    <s v="Todas"/>
    <s v="Todos"/>
    <s v="No Aplica"/>
    <m/>
    <m/>
  </r>
  <r>
    <s v="040"/>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18461794"/>
    <s v="JOHANN MATEO SOLER LÓPEZ"/>
    <n v="46053333.333333336"/>
    <s v="20.01"/>
    <s v="2.1.2.02.02.008"/>
    <s v="SI"/>
    <m/>
    <s v="CON-040"/>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1"/>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109387206"/>
    <s v="ORTEGON MORENO JHONNY ALEXANDER"/>
    <n v="46053333.333333336"/>
    <s v="20.01"/>
    <s v="2.1.2.02.02.008"/>
    <s v="SI"/>
    <m/>
    <s v="CON-041"/>
    <n v="80111600"/>
    <s v="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2"/>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23963626"/>
    <s v="JEISSON ALEXANDER GAVILAN MURCIA"/>
    <n v="46053333.333333336"/>
    <s v="20.01"/>
    <s v="2.1.2.02.02.008"/>
    <s v="SI"/>
    <m/>
    <s v="CON-042"/>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3"/>
    <s v="GASTOS DE FUNCIONAMIENTO"/>
    <x v="1"/>
    <x v="12"/>
    <s v="CINNDET"/>
    <s v="Servicios Asistenciales"/>
    <s v="CPS"/>
    <s v="ASISTENCIAL"/>
    <n v="5"/>
    <n v="2000000"/>
    <n v="5.0000000000000044E-2"/>
    <n v="2100000"/>
    <n v="1"/>
    <s v="DIA"/>
    <d v="2024-02-05T00:00:00"/>
    <d v="2024-12-15T00:00:00"/>
    <s v="SI"/>
    <d v="2024-02-05T00:00:00"/>
    <d v="2024-12-15T00:00:00"/>
    <n v="21980000"/>
    <m/>
    <m/>
    <n v="0"/>
    <n v="10"/>
    <n v="21980000"/>
    <n v="20800000"/>
    <n v="5.6730769230769251E-2"/>
    <n v="1033762889"/>
    <s v="MAYCOL ALFONSO MURCIA SOSA"/>
    <n v="21980000"/>
    <s v="20.01"/>
    <s v="2.1.2.02.02.008"/>
    <s v="SI"/>
    <m/>
    <s v="CON-043"/>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d v="2024-02-05T00:00:00"/>
    <d v="2024-02-05T00:00:00"/>
    <n v="10"/>
    <s v="MES(ES)"/>
    <s v="Contratación directa."/>
    <n v="21980000"/>
    <n v="21980000"/>
    <s v="NO"/>
    <s v="NA"/>
    <s v="GRUPO DE CONTRATACION UNIVERSIDAD PEDAGOGICA NACIONAL"/>
    <s v="CO-DC"/>
    <s v="FACULTAD DE CIENCIA Y TECNOLOGÍA"/>
    <s v="601 5941844"/>
    <s v="contratacion@pedagogica.edu.co"/>
    <s v="NO"/>
    <s v="NO"/>
    <s v="No Aplica"/>
    <s v="Todas"/>
    <s v="Todos"/>
    <s v="No Aplica"/>
    <m/>
    <m/>
  </r>
  <r>
    <s v="044"/>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1031140889"/>
    <s v="LOAIZA VILLALBA ANGELA MARIEL"/>
    <n v="37680000"/>
    <s v="20.01"/>
    <s v="2.1.2.02.02.008"/>
    <s v="SI"/>
    <m/>
    <s v="CON-044"/>
    <n v="80111600"/>
    <s v="_x000a_Prestar servicios profesionales para el desarrollo de la edición y publicación de revistas y libr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5"/>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51974426"/>
    <s v="MARTHA JANNETH MENDEZ PEÑA"/>
    <n v="37680000"/>
    <s v="20.01"/>
    <s v="2.1.2.02.02.008"/>
    <s v="SI"/>
    <m/>
    <s v="CON-045"/>
    <n v="80111600"/>
    <s v="Prestar servicios profesionales  para el desarrollo de las actividades del Grupo Interno de Trabajo Editorial en la corrección de estilo de los libros, revistas y materiales educativ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6"/>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31700000"/>
    <n v="2.3554153522607812E-2"/>
    <n v="1000950846"/>
    <s v="ANA MARIA ROBAYO SOLER"/>
    <n v="32446666.666666668"/>
    <s v="20.01"/>
    <s v="2.1.2.02.02.008"/>
    <s v="SI"/>
    <m/>
    <s v="CON-046"/>
    <n v="80111600"/>
    <s v="Prestar servicios profesionales para los procesos de comunicación interna y externa de la producción editorial de la Universidad y gestión de las redes sociales y académicas de la editori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7"/>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27000000"/>
    <n v="0.20172839506172835"/>
    <n v="1019128363"/>
    <s v="MARIA ALEJANDRA URIBE CADENA"/>
    <n v="32446666.666666668"/>
    <s v="20.01"/>
    <s v="2.1.2.02.02.008"/>
    <s v="SI"/>
    <m/>
    <s v="CON-047"/>
    <n v="80111600"/>
    <s v="Prestar servicios profesionales para el desarrollo de las actividades del Grupo Interno de Trabajo Editorial, en la edición y corrección de estilo de los libros y revistas de la Universidad Pedagógica Nacion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8"/>
    <s v="GASTOS DE FUNCIONAMIENTO"/>
    <x v="2"/>
    <x v="13"/>
    <m/>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1032380730"/>
    <s v="PAULA ANDREA CUBILLOS GÓMEZ"/>
    <n v="40820000"/>
    <s v="20.01"/>
    <s v="2.1.2.02.02.008"/>
    <s v="SI"/>
    <m/>
    <s v="CON-048"/>
    <n v="80111600"/>
    <s v="Prestar los servicios profesionales para el desarrollo de las actividades del Grupo Interno de Trabajo Editorial en los procesos de diagramación, diseño y finalización de las revistas de la Universidad Pedagógica Nacional."/>
    <d v="2024-02-05T00:00:00"/>
    <d v="2024-02-05T00:00:00"/>
    <n v="10"/>
    <s v="MES(ES)"/>
    <s v="Contratación directa."/>
    <n v="40820000"/>
    <n v="40820000"/>
    <s v="NO"/>
    <s v="NA"/>
    <s v="GRUPO DE CONTRATACION UNIVERSIDAD PEDAGOGICA NACIONAL"/>
    <s v="CO-DC"/>
    <s v="GRUPO EDITORIAL"/>
    <s v="601 5941844"/>
    <s v="contratacion@pedagogica.edu.co"/>
    <s v="NO"/>
    <s v="NO"/>
    <s v="No Aplica"/>
    <s v="Todas"/>
    <s v="Todos"/>
    <s v="No Aplica"/>
    <m/>
    <m/>
  </r>
  <r>
    <s v="049"/>
    <s v="GASTOS DE FUNCIONAMIENTO"/>
    <x v="2"/>
    <x v="13"/>
    <m/>
    <s v="Servicios Profesionales"/>
    <s v="CPS"/>
    <s v="PROFESIONAL ESPECIALIZADO"/>
    <n v="1"/>
    <n v="4550000"/>
    <n v="3.2967032967033072E-2"/>
    <n v="4700000"/>
    <n v="1"/>
    <s v="DIA"/>
    <d v="2024-02-05T00:00:00"/>
    <d v="2024-12-15T00:00:00"/>
    <s v="SI"/>
    <d v="2024-02-05T00:00:00"/>
    <d v="2024-12-15T00:00:00"/>
    <n v="49193333.333333336"/>
    <m/>
    <m/>
    <n v="0"/>
    <n v="10"/>
    <n v="49193333.333333336"/>
    <n v="48078333.333333336"/>
    <n v="2.3191319721288073E-2"/>
    <n v="7177488"/>
    <s v="WILLIAM EZEQUIEL CASTELBLANCO CARO"/>
    <n v="49193333.333333336"/>
    <s v="20.01"/>
    <s v="2.1.2.02.02.008"/>
    <s v="SI"/>
    <m/>
    <s v="CON-049"/>
    <n v="80111600"/>
    <s v="Prestar servicios profesionales para la circulación y distribución de la producción editorial de la Universidad Pedagógica Nacional."/>
    <d v="2024-02-05T00:00:00"/>
    <d v="2024-02-05T00:00:00"/>
    <n v="10"/>
    <s v="MES(ES)"/>
    <s v="Contratación directa."/>
    <n v="49193333.333333336"/>
    <n v="49193333.333333336"/>
    <s v="NO"/>
    <s v="NA"/>
    <s v="GRUPO DE CONTRATACION UNIVERSIDAD PEDAGOGICA NACIONAL"/>
    <s v="CO-DC"/>
    <s v="GRUPO EDITORIAL"/>
    <s v="601 5941844"/>
    <s v="contratacion@pedagogica.edu.co"/>
    <s v="NO"/>
    <s v="NO"/>
    <s v="No Aplica"/>
    <s v="Todas"/>
    <s v="Todos"/>
    <s v="No Aplica"/>
    <m/>
    <m/>
  </r>
  <r>
    <s v="050"/>
    <s v="GASTOS DE FUNCIONAMIENTO"/>
    <x v="3"/>
    <x v="14"/>
    <m/>
    <s v="Servicios Profesionales"/>
    <s v="CPS"/>
    <s v="PROFESIONAL ESPECIALIZADO"/>
    <n v="6"/>
    <n v="6000000"/>
    <n v="3.3333333333333437E-2"/>
    <n v="6200000"/>
    <n v="1"/>
    <s v="DIA"/>
    <d v="2024-02-05T00:00:00"/>
    <d v="2024-12-27T00:00:00"/>
    <s v="SI"/>
    <d v="2024-02-05T00:00:00"/>
    <d v="2024-12-27T00:00:00"/>
    <n v="67373333.333333343"/>
    <m/>
    <m/>
    <n v="0"/>
    <n v="11"/>
    <n v="67373333.333333343"/>
    <n v="57000000"/>
    <n v="0.18198830409356748"/>
    <n v="52209009"/>
    <s v="GINA JAIDIVE ORREGO PLAZA"/>
    <n v="67373333.333333343"/>
    <s v="20.01"/>
    <s v="2.1.2.02.02.008"/>
    <s v="SI"/>
    <m/>
    <s v="CON-050"/>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2024-02-05T00:00:00"/>
    <d v="2024-02-05T00:00:00"/>
    <n v="11"/>
    <s v="MES(ES)"/>
    <s v="Contratación directa."/>
    <n v="67373333.333333343"/>
    <n v="67373333.333333343"/>
    <s v="NO"/>
    <s v="NA"/>
    <s v="GRUPO DE CONTRATACION UNIVERSIDAD PEDAGOGICA NACIONAL"/>
    <s v="CO-DC"/>
    <s v="DESPACHO VAD"/>
    <s v="601 5941844"/>
    <s v="contratacion@pedagogica.edu.co"/>
    <s v="NO"/>
    <s v="NO"/>
    <s v="No Aplica"/>
    <s v="Todas"/>
    <s v="Todos"/>
    <s v="No Aplica"/>
    <m/>
    <m/>
  </r>
  <r>
    <s v="051"/>
    <s v="GASTOS DE FUNCIONAMIENTO"/>
    <x v="3"/>
    <x v="15"/>
    <m/>
    <s v="Servicios Profesionales"/>
    <s v="CPS"/>
    <s v="PROFESIONAL ESPECIALIZADO"/>
    <n v="6"/>
    <n v="6000000"/>
    <n v="3.3333333333333437E-2"/>
    <n v="6200000"/>
    <n v="1"/>
    <s v="DIA"/>
    <d v="2024-01-15T00:00:00"/>
    <d v="2024-12-13T00:00:00"/>
    <s v="SI"/>
    <d v="2024-01-15T00:00:00"/>
    <d v="2024-12-13T00:00:00"/>
    <n v="68820000"/>
    <m/>
    <m/>
    <n v="0"/>
    <n v="11"/>
    <n v="68820000"/>
    <n v="66800000"/>
    <n v="3.023952095808391E-2"/>
    <n v="52374854"/>
    <s v="FANNY YOLANDA HERRERA MUNEVAR"/>
    <n v="68820000"/>
    <s v="20.01"/>
    <s v="2.1.2.02.02.008"/>
    <s v="SI"/>
    <m/>
    <s v="CON-051"/>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2024-01-15T00:00:00"/>
    <d v="2024-01-15T00:00:00"/>
    <n v="11"/>
    <s v="MES(ES)"/>
    <s v="Contratación directa."/>
    <n v="68820000"/>
    <n v="68820000"/>
    <s v="NO"/>
    <s v="NA"/>
    <s v="GRUPO DE CONTRATACION UNIVERSIDAD PEDAGOGICA NACIONAL"/>
    <s v="CO-DC"/>
    <s v="SUBDIRECCIÓN FINANCIERA"/>
    <s v="601 5941844"/>
    <s v="contratacion@pedagogica.edu.co"/>
    <s v="NO"/>
    <s v="NO"/>
    <s v="No Aplica"/>
    <s v="Todas"/>
    <s v="Todos"/>
    <s v="No Aplica"/>
    <m/>
    <m/>
  </r>
  <r>
    <s v="052"/>
    <s v="GASTOS DE FUNCIONAMIENTO"/>
    <x v="3"/>
    <x v="14"/>
    <m/>
    <s v="Servicios Profesionales"/>
    <s v="CPS"/>
    <s v="PROFESIONAL UNIVERSITARIO"/>
    <n v="1"/>
    <n v="3000000"/>
    <n v="3.3333333333333437E-2"/>
    <n v="3100000"/>
    <n v="1"/>
    <s v="DIA"/>
    <d v="2024-01-22T00:00:00"/>
    <d v="2024-12-13T00:00:00"/>
    <s v="SI"/>
    <d v="2024-01-22T00:00:00"/>
    <d v="2024-12-13T00:00:00"/>
    <n v="33686666.666666672"/>
    <m/>
    <m/>
    <n v="0"/>
    <n v="11"/>
    <n v="33686666.666666672"/>
    <n v="32000000"/>
    <n v="5.2708333333333579E-2"/>
    <n v="1018477121"/>
    <s v="JOHAN SEBASTIAN VILLAMIZAR MORENO"/>
    <n v="33686666.666666672"/>
    <s v="20.01"/>
    <s v="2.1.2.02.02.008"/>
    <s v="SI"/>
    <m/>
    <s v="CON-052"/>
    <n v="80111600"/>
    <s v="Prestar los servicios profesionales para apoyar a la Vicerrectoría Administrativa y Financiera en la implementación y seguimiento del Sistema de Gestión Ambiental de la Universidad Pedagógica Nacional."/>
    <d v="2024-01-22T00:00:00"/>
    <d v="2024-01-22T00:00:00"/>
    <n v="11"/>
    <s v="MES(ES)"/>
    <s v="Contratación directa."/>
    <n v="33686666.666666672"/>
    <n v="33686666.666666672"/>
    <s v="NO"/>
    <s v="NA"/>
    <s v="GRUPO DE CONTRATACION UNIVERSIDAD PEDAGOGICA NACIONAL"/>
    <s v="CO-DC"/>
    <s v="DESPACHO VAD"/>
    <s v="601 5941844"/>
    <s v="contratacion@pedagogica.edu.co"/>
    <s v="NO"/>
    <s v="NO"/>
    <s v="No Aplica"/>
    <s v="Todas"/>
    <s v="Todos"/>
    <s v="No Aplica"/>
    <m/>
    <m/>
  </r>
  <r>
    <s v="053"/>
    <s v="GASTOS DE FUNCIONAMIENTO"/>
    <x v="3"/>
    <x v="16"/>
    <m/>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52516310"/>
    <s v="CAROLINA PRADO MUÑOZ"/>
    <n v="46053333.333333336"/>
    <s v="20.01"/>
    <s v="2.1.2.02.02.008"/>
    <s v="SI"/>
    <m/>
    <s v="CON-053"/>
    <n v="80111600"/>
    <s v="Prestar servicios profesionales a la Subdirección de Personal para apoyar la formulación, ejecución, seguimiento y control del Plan de Capacitación"/>
    <d v="2024-02-05T00:00:00"/>
    <d v="2024-02-05T00:00:00"/>
    <n v="10"/>
    <s v="MES(ES)"/>
    <s v="Contratación directa."/>
    <n v="46053333.333333336"/>
    <n v="46053333.333333336"/>
    <s v="NO"/>
    <s v="NA"/>
    <s v="GRUPO DE CONTRATACION UNIVERSIDAD PEDAGOGICA NACIONAL"/>
    <s v="CO-DC"/>
    <s v="SUBDIRECCIÓN DE PERSONAL"/>
    <s v="601 5941844"/>
    <s v="contratacion@pedagogica.edu.co"/>
    <s v="NO"/>
    <s v="NO"/>
    <s v="No Aplica"/>
    <s v="Todas"/>
    <s v="Todos"/>
    <s v="No Aplica"/>
    <m/>
    <m/>
  </r>
  <r>
    <s v="054"/>
    <s v="GASTOS DE FUNCIONAMIENTO"/>
    <x v="3"/>
    <x v="17"/>
    <m/>
    <s v="Servicios Asistenciales"/>
    <s v="CPS"/>
    <s v="ASISTENCIAL"/>
    <n v="5"/>
    <n v="2000000"/>
    <n v="5.0000000000000044E-2"/>
    <n v="2100000"/>
    <n v="1"/>
    <s v="DIA"/>
    <d v="2024-01-15T00:00:00"/>
    <d v="2024-12-13T00:00:00"/>
    <s v="SI"/>
    <d v="2024-01-15T00:00:00"/>
    <d v="2024-12-13T00:00:00"/>
    <n v="23310000"/>
    <m/>
    <m/>
    <n v="0"/>
    <n v="11"/>
    <n v="23310000"/>
    <n v="22200000"/>
    <n v="5.0000000000000044E-2"/>
    <n v="16881799"/>
    <s v="LUIS ALFONSO SICACHA GONZALEZ"/>
    <n v="23310000"/>
    <s v="20.01"/>
    <s v="2.1.2.02.02.008"/>
    <s v="SI"/>
    <m/>
    <s v="CON-054"/>
    <n v="80111600"/>
    <s v="Prestalos los servicios para garantizar el buen funcionamiento de la piscina y las calderas de Calle 72  de la Universidad Pedagógica Nacional."/>
    <d v="2024-01-15T00:00:00"/>
    <d v="2024-01-15T00:00:00"/>
    <n v="11"/>
    <s v="MES(ES)"/>
    <s v="Contratación directa."/>
    <n v="23310000"/>
    <n v="23310000"/>
    <s v="NO"/>
    <s v="NA"/>
    <s v="GRUPO DE CONTRATACION UNIVERSIDAD PEDAGOGICA NACIONAL"/>
    <s v="CO-DC"/>
    <s v="SUBDIRECCIÓN DE SERVICIOS GENERALES"/>
    <s v="601 5941844"/>
    <s v="contratacion@pedagogica.edu.co"/>
    <s v="NO"/>
    <s v="NO"/>
    <s v="No Aplica"/>
    <s v="Todas"/>
    <s v="Todos"/>
    <s v="No Aplica"/>
    <m/>
    <m/>
  </r>
  <r>
    <s v="055"/>
    <s v="GASTOS DE FUNCIONAMIENTO"/>
    <x v="3"/>
    <x v="18"/>
    <m/>
    <s v="Servicios Profesionales"/>
    <s v="CPS"/>
    <s v="PROFESIONAL UNIVERSITARIO"/>
    <n v="6"/>
    <n v="4200000"/>
    <n v="4.7619047619047672E-2"/>
    <n v="4400000"/>
    <n v="1"/>
    <s v="DIA"/>
    <d v="2024-02-05T00:00:00"/>
    <d v="2024-11-30T00:00:00"/>
    <s v="SI"/>
    <d v="2024-02-05T00:00:00"/>
    <d v="2024-11-30T00:00:00"/>
    <n v="43853333.333333336"/>
    <m/>
    <m/>
    <n v="0"/>
    <n v="10"/>
    <n v="43853333.333333336"/>
    <n v="42280000"/>
    <n v="3.7212235887732703E-2"/>
    <n v="1005450904"/>
    <s v="MARÍA ISABEL PINZÓN PINTO"/>
    <n v="43853333.333333336"/>
    <s v="20.01"/>
    <s v="2.1.2.02.02.008"/>
    <s v="SI"/>
    <m/>
    <s v="CON-055"/>
    <n v="80111600"/>
    <s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
    <d v="2024-02-05T00:00:00"/>
    <d v="2024-02-05T00:00:00"/>
    <n v="10"/>
    <s v="MES(ES)"/>
    <s v="Contratación directa."/>
    <n v="43853333.333333336"/>
    <n v="43853333.333333336"/>
    <s v="NO"/>
    <s v="NA"/>
    <s v="GRUPO DE CONTRATACION UNIVERSIDAD PEDAGOGICA NACIONAL"/>
    <s v="CO-DC"/>
    <s v="GRUPO DE CONTRATACIÓN "/>
    <s v="601 5941844"/>
    <s v="contratacion@pedagogica.edu.co"/>
    <s v="NO"/>
    <s v="NO"/>
    <s v="No Aplica"/>
    <s v="Todas"/>
    <s v="Todos"/>
    <s v="No Aplica"/>
    <m/>
    <m/>
  </r>
  <r>
    <s v="056"/>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723573"/>
    <s v="OLGER ELIAS GARAVITO MUÑOZ"/>
    <n v="37200000"/>
    <s v="20.01"/>
    <s v="2.1.2.02.02.008"/>
    <s v="SI"/>
    <m/>
    <s v="CON-056"/>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57"/>
    <s v="GASTOS DE FUNCIONAMIENTO"/>
    <x v="3"/>
    <x v="19"/>
    <m/>
    <s v="Servicios Profesionales"/>
    <s v="CPS"/>
    <s v="PROFESIONAL UNIVERSITARIO"/>
    <n v="3"/>
    <n v="3400000"/>
    <n v="5.8823529411764719E-2"/>
    <n v="3600000"/>
    <n v="1"/>
    <s v="DIA"/>
    <d v="2024-02-05T00:00:00"/>
    <d v="2024-12-15T00:00:00"/>
    <s v="SI"/>
    <d v="2024-01-24T00:00:00"/>
    <d v="2024-12-20T00:00:00"/>
    <n v="39720000"/>
    <m/>
    <m/>
    <n v="0"/>
    <n v="11"/>
    <n v="39720000"/>
    <n v="35360000"/>
    <n v="0.12330316742081449"/>
    <n v="1065564485"/>
    <s v="HUGO LUIS BARROS LIÑAN"/>
    <n v="39720000"/>
    <s v="20.01"/>
    <s v="2.1.2.02.02.008"/>
    <s v="SI"/>
    <m/>
    <s v="CON-057"/>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4-01-24T00:00:00"/>
    <d v="2024-01-24T00:00:00"/>
    <n v="11"/>
    <s v="MES(ES)"/>
    <s v="Contratación directa."/>
    <n v="39720000"/>
    <n v="39720000"/>
    <s v="NO"/>
    <s v="NA"/>
    <s v="GRUPO DE CONTRATACION UNIVERSIDAD PEDAGOGICA NACIONAL"/>
    <s v="CO-DC"/>
    <s v="SUBDIRECCIÓN DE GESTIÓN DE SISTEMAS DE INFORMACIÓN "/>
    <s v="601 5941844"/>
    <s v="contratacion@pedagogica.edu.co"/>
    <s v="NO"/>
    <s v="NO"/>
    <s v="No Aplica"/>
    <s v="Todas"/>
    <s v="Todos"/>
    <s v="No Aplica"/>
    <m/>
    <m/>
  </r>
  <r>
    <s v="058"/>
    <s v="GASTOS DE FUNCIONAMIENTO"/>
    <x v="3"/>
    <x v="19"/>
    <m/>
    <s v="Servicios Profesionales"/>
    <s v="CPS"/>
    <s v="PROFESIONAL ESPECIALIZADO"/>
    <n v="1"/>
    <n v="4550000"/>
    <n v="3.2967032967033072E-2"/>
    <n v="4700000"/>
    <n v="1"/>
    <s v="DIA"/>
    <d v="2024-02-05T00:00:00"/>
    <d v="2024-12-15T00:00:00"/>
    <s v="SI"/>
    <d v="2024-01-24T00:00:00"/>
    <d v="2024-11-29T00:00:00"/>
    <n v="48566666.666666672"/>
    <m/>
    <m/>
    <n v="0"/>
    <n v="10"/>
    <n v="48566666.666666672"/>
    <n v="47320000"/>
    <n v="2.6345449422372713E-2"/>
    <n v="52558393"/>
    <s v="LOZANO RAMIREZ ANDREA MARIA"/>
    <n v="48566666.666666672"/>
    <s v="20.01"/>
    <s v="2.1.2.02.02.008"/>
    <s v="SI"/>
    <m/>
    <s v="CON-058"/>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4-01-24T00:00:00"/>
    <d v="2024-01-24T00:00:00"/>
    <n v="10"/>
    <s v="MES(ES)"/>
    <s v="Contratación directa."/>
    <n v="48566666.666666672"/>
    <n v="48566666.666666672"/>
    <s v="NO"/>
    <s v="NA"/>
    <s v="GRUPO DE CONTRATACION UNIVERSIDAD PEDAGOGICA NACIONAL"/>
    <s v="CO-DC"/>
    <s v="SUBDIRECCIÓN DE GESTIÓN DE SISTEMAS DE INFORMACIÓN "/>
    <s v="601 5941844"/>
    <s v="contratacion@pedagogica.edu.co"/>
    <s v="NO"/>
    <s v="NO"/>
    <s v="No Aplica"/>
    <s v="Todas"/>
    <s v="Todos"/>
    <s v="No Aplica"/>
    <m/>
    <m/>
  </r>
  <r>
    <s v="059"/>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010368"/>
    <s v="EDGAR FERNANDO VARGAS BUITRAGO"/>
    <n v="37200000"/>
    <s v="20.01"/>
    <s v="2.1.2.02.02.008"/>
    <s v="SI"/>
    <m/>
    <s v="CON-059"/>
    <n v="80111600"/>
    <s v="prestar los servicios profesionales para administrar, soportar y garantizar la disponibilidad de la plataforma de servidores físicos y virtuales, incluyendo la infraestructura web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0"/>
    <s v="GASTOS DE FUNCIONAMIENTO"/>
    <x v="3"/>
    <x v="19"/>
    <m/>
    <s v="Servicios Técnicos"/>
    <s v="CPS"/>
    <s v="TÉCNICO"/>
    <n v="1"/>
    <n v="2200000"/>
    <n v="4.5454545454545414E-2"/>
    <n v="2300000"/>
    <n v="1"/>
    <s v="DIA"/>
    <d v="2024-02-05T00:00:00"/>
    <d v="2024-12-15T00:00:00"/>
    <s v="SI"/>
    <d v="2024-01-24T00:00:00"/>
    <d v="2024-11-29T00:00:00"/>
    <n v="23766666.666666668"/>
    <m/>
    <m/>
    <n v="0"/>
    <n v="10"/>
    <n v="23766666.666666668"/>
    <n v="22880000"/>
    <n v="3.8752913752913898E-2"/>
    <n v="1000115711"/>
    <s v="YEFER ESTEBAN RICO SÁNCHEZ"/>
    <n v="23766666.666666668"/>
    <s v="20.01"/>
    <s v="2.1.2.02.02.008"/>
    <s v="SI"/>
    <m/>
    <s v="CON-060"/>
    <n v="80111600"/>
    <s v="Prestar servicios profesionales para realizar las actividades de consolidación de información para la generación de la data a utilizar en el plan estratégico de gestión de la información de la Universidad Pedagógica Nacional"/>
    <d v="2024-01-24T00:00:00"/>
    <d v="2024-01-24T00:00:00"/>
    <n v="10"/>
    <s v="MES(ES)"/>
    <s v="Contratación directa."/>
    <n v="23766666.666666668"/>
    <n v="23766666.666666668"/>
    <s v="NO"/>
    <s v="NA"/>
    <s v="GRUPO DE CONTRATACION UNIVERSIDAD PEDAGOGICA NACIONAL"/>
    <s v="CO-DC"/>
    <s v="SUBDIRECCIÓN DE GESTIÓN DE SISTEMAS DE INFORMACIÓN "/>
    <s v="601 5941844"/>
    <s v="contratacion@pedagogica.edu.co"/>
    <s v="NO"/>
    <s v="NO"/>
    <s v="No Aplica"/>
    <s v="Todas"/>
    <s v="Todos"/>
    <s v="No Aplica"/>
    <m/>
    <m/>
  </r>
  <r>
    <s v="062"/>
    <s v="GASTOS DE FUNCIONAMIENTO"/>
    <x v="3"/>
    <x v="19"/>
    <m/>
    <s v="Servicios Profesionales"/>
    <s v="CPS"/>
    <s v="PROFESIONAL ESPECIALIZADO"/>
    <n v="4"/>
    <n v="5500000"/>
    <n v="3.6363636363636376E-2"/>
    <n v="5700000"/>
    <n v="1"/>
    <s v="DIA"/>
    <d v="2024-01-15T00:00:00"/>
    <d v="2024-12-06T00:00:00"/>
    <s v="SI"/>
    <d v="2024-01-24T00:00:00"/>
    <d v="2024-12-20T00:00:00"/>
    <n v="62890000"/>
    <m/>
    <m/>
    <n v="0"/>
    <n v="11"/>
    <n v="62890000"/>
    <n v="61050000"/>
    <n v="3.0139230139230033E-2"/>
    <n v="80027001"/>
    <s v="HENDRIX  SUAREZ CARDENAS"/>
    <n v="62890000"/>
    <s v="20.01"/>
    <s v="2.1.2.02.02.008"/>
    <s v="SI"/>
    <m/>
    <s v="CON-062"/>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4-01-24T00:00:00"/>
    <d v="2024-01-24T00:00:00"/>
    <n v="11"/>
    <s v="MES(ES)"/>
    <s v="Contratación directa."/>
    <n v="62890000"/>
    <n v="62890000"/>
    <s v="NO"/>
    <s v="NA"/>
    <s v="GRUPO DE CONTRATACION UNIVERSIDAD PEDAGOGICA NACIONAL"/>
    <s v="CO-DC"/>
    <s v="SUBDIRECCIÓN DE GESTIÓN DE SISTEMAS DE INFORMACIÓN "/>
    <s v="601 5941844"/>
    <s v="contratacion@pedagogica.edu.co"/>
    <s v="NO"/>
    <s v="NO"/>
    <s v="No Aplica"/>
    <s v="Todas"/>
    <s v="Todos"/>
    <s v="No Aplica"/>
    <m/>
    <m/>
  </r>
  <r>
    <s v="063"/>
    <s v="GASTOS DE FUNCIONAMIENTO"/>
    <x v="3"/>
    <x v="19"/>
    <m/>
    <s v="Servicios Profesionales"/>
    <s v="CPS"/>
    <s v="PROFESIONAL ESPECIALIZADO"/>
    <n v="1"/>
    <n v="4550000"/>
    <n v="3.2967032967033072E-2"/>
    <n v="4700000"/>
    <n v="1"/>
    <s v="DIA"/>
    <d v="2024-01-15T00:00:00"/>
    <d v="2024-12-06T00:00:00"/>
    <s v="SI"/>
    <d v="2024-01-24T00:00:00"/>
    <d v="2024-12-20T00:00:00"/>
    <n v="51856666.666666664"/>
    <m/>
    <m/>
    <n v="0"/>
    <n v="11"/>
    <n v="51856666.666666664"/>
    <n v="50050000"/>
    <n v="3.609723609723603E-2"/>
    <n v="79482785"/>
    <s v="FREDY LOPEZ GARCIA"/>
    <n v="51856666.666666664"/>
    <s v="20.01"/>
    <s v="2.1.2.02.02.008"/>
    <s v="SI"/>
    <m/>
    <s v="CON-063"/>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4-01-24T00:00:00"/>
    <d v="2024-01-24T00:00:00"/>
    <n v="11"/>
    <s v="MES(ES)"/>
    <s v="Contratación directa."/>
    <n v="51856666.666666664"/>
    <n v="51856666.666666664"/>
    <s v="NO"/>
    <s v="NA"/>
    <s v="GRUPO DE CONTRATACION UNIVERSIDAD PEDAGOGICA NACIONAL"/>
    <s v="CO-DC"/>
    <s v="SUBDIRECCIÓN DE GESTIÓN DE SISTEMAS DE INFORMACIÓN "/>
    <s v="601 5941844"/>
    <s v="contratacion@pedagogica.edu.co"/>
    <s v="NO"/>
    <s v="NO"/>
    <s v="No Aplica"/>
    <s v="Todas"/>
    <s v="Todos"/>
    <s v="No Aplica"/>
    <m/>
    <m/>
  </r>
  <r>
    <s v="064"/>
    <s v="GASTOS DE FUNCIONAMIENTO"/>
    <x v="3"/>
    <x v="19"/>
    <m/>
    <s v="Servicios Profesionales"/>
    <s v="CPS"/>
    <s v="PROFESIONAL UNIVERSITARIO"/>
    <n v="6"/>
    <n v="4200000"/>
    <n v="4.7619047619047672E-2"/>
    <n v="4400000"/>
    <n v="1"/>
    <s v="DIA"/>
    <d v="2024-02-05T00:00:00"/>
    <d v="2024-12-28T00:00:00"/>
    <s v="SI"/>
    <d v="2024-01-24T00:00:00"/>
    <d v="2024-11-29T00:00:00"/>
    <n v="45466666.666666672"/>
    <m/>
    <m/>
    <n v="0"/>
    <n v="10"/>
    <n v="45466666.666666672"/>
    <n v="46200000"/>
    <n v="-1.5873015873015817E-2"/>
    <n v="80832319"/>
    <s v="MILTON EDUARDO GARCIA GRANADOS"/>
    <n v="45466666.666666672"/>
    <s v="20.01"/>
    <s v="2.1.2.02.02.008"/>
    <s v="SI"/>
    <m/>
    <s v="CON-064"/>
    <n v="80111600"/>
    <s v="Prestar los servicios profesionales como administrador y soporte de aplicaciones, principalmente para nuevos desarrollos, en cumplimiento de las metas y los objetivos de la Subdirección de gestión de Sistemas de Información"/>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5"/>
    <s v="GASTOS DE FUNCIONAMIENTO"/>
    <x v="3"/>
    <x v="19"/>
    <m/>
    <s v="Servicios Profesionales"/>
    <s v="CPS"/>
    <s v="PROFESIONAL UNIVERSITARIO"/>
    <n v="3"/>
    <n v="3400000"/>
    <n v="5.8823529411764719E-2"/>
    <n v="3600000"/>
    <n v="1"/>
    <s v="DIA"/>
    <d v="2024-02-05T00:00:00"/>
    <d v="2024-12-13T00:00:00"/>
    <s v="SI"/>
    <d v="2024-01-24T00:00:00"/>
    <d v="2024-11-29T00:00:00"/>
    <n v="37200000"/>
    <m/>
    <m/>
    <n v="0"/>
    <n v="10"/>
    <n v="37200000"/>
    <n v="35700000"/>
    <n v="4.2016806722689148E-2"/>
    <n v="1010236414"/>
    <s v="JOHAN SEBASTIAN ROBAYO CASTILLO"/>
    <n v="37200000"/>
    <s v="20.01"/>
    <s v="2.1.2.02.02.008"/>
    <s v="SI"/>
    <m/>
    <s v="CON-065"/>
    <n v="80111600"/>
    <s v="Prestar servicios profesionales para la administración y soporte de las bases de datos Mysql Server, principalmente para el nuevo software académico Class"/>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6"/>
    <s v="GASTOS DE FUNCIONAMIENTO"/>
    <x v="3"/>
    <x v="19"/>
    <m/>
    <s v="Servicios Profesionales"/>
    <s v="CPS"/>
    <s v="PROFESIONAL UNIVERSITARIO"/>
    <n v="6"/>
    <n v="4200000"/>
    <n v="4.7619047619047672E-2"/>
    <n v="4400000"/>
    <n v="1"/>
    <s v="DIA"/>
    <d v="2024-02-05T00:00:00"/>
    <d v="2024-12-15T00:00:00"/>
    <s v="SI"/>
    <d v="2024-01-24T00:00:00"/>
    <d v="2024-11-29T00:00:00"/>
    <n v="45466666.666666672"/>
    <m/>
    <m/>
    <n v="0"/>
    <n v="10"/>
    <n v="45466666.666666672"/>
    <n v="43680000"/>
    <n v="4.090354090354098E-2"/>
    <n v="80058485"/>
    <s v="GAMBA RONCANCIO YHEISON JAVIER"/>
    <n v="45466666.666666672"/>
    <s v="20.01"/>
    <s v="2.1.2.02.02.008"/>
    <s v="SI"/>
    <m/>
    <s v="CON-066"/>
    <n v="80111600"/>
    <s v="Prestar los servicos profesionales para continuar con el desarrollo de la página web de la Universidad Pedagógica Nacional y apoyar  labores de programas académicos"/>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7"/>
    <s v="GASTOS DE FUNCIONAMIENTO"/>
    <x v="3"/>
    <x v="20"/>
    <s v="GÉNERO"/>
    <s v="Servicios Profesionales"/>
    <s v="CPS"/>
    <s v="PROFESIONAL ESPECIALIZADO"/>
    <n v="3"/>
    <n v="5000000"/>
    <n v="7.0000000000000062E-2"/>
    <n v="5350000"/>
    <n v="1"/>
    <s v="DIA"/>
    <d v="2024-02-05T00:00:00"/>
    <d v="2024-12-06T00:00:00"/>
    <s v="SI"/>
    <d v="2024-01-22T00:00:00"/>
    <d v="2024-12-06T00:00:00"/>
    <n v="56888333.333333328"/>
    <m/>
    <m/>
    <n v="0"/>
    <n v="11"/>
    <n v="56888333.333333328"/>
    <n v="3166670"/>
    <n v="16.96471793187586"/>
    <n v="1032468510"/>
    <s v="VALENTINA HERRERA OSPINA"/>
    <n v="56888333.333333328"/>
    <s v="20.01"/>
    <s v="2.1.2.02.02.008"/>
    <s v="SI"/>
    <m/>
    <s v="CON-067"/>
    <n v="80111600"/>
    <s v="Prestar servicios profesionales para apoyar a la Subdirección de Bienestar Universitario en la asistencia jurídica en derechos humanos y violencia de género para atender a estudiantes y funcionarios de la UPN."/>
    <d v="2024-01-22T00:00:00"/>
    <d v="2024-01-22T00:00:00"/>
    <n v="11"/>
    <s v="MES(ES)"/>
    <s v="Contratación directa."/>
    <n v="56888333.333333328"/>
    <n v="56888333.333333328"/>
    <s v="NO"/>
    <s v="NA"/>
    <s v="GRUPO DE CONTRATACION UNIVERSIDAD PEDAGOGICA NACIONAL"/>
    <s v="CO-DC"/>
    <s v="SUBDIRECCIÓN DE BIENESTAR UNIVERSITARIO"/>
    <s v="601 5941844"/>
    <s v="contratacion@pedagogica.edu.co"/>
    <s v="NO"/>
    <s v="NO"/>
    <s v="No Aplica"/>
    <s v="Todas"/>
    <s v="Todos"/>
    <s v="No Aplica"/>
    <m/>
    <m/>
  </r>
  <r>
    <s v="068"/>
    <s v="GASTOS DE FUNCIONAMIENTO"/>
    <x v="3"/>
    <x v="20"/>
    <s v="RESTAURANTE"/>
    <s v="Servicios Profesionales"/>
    <s v="CPS"/>
    <s v="PROFESIONAL UNIVERSITARIO"/>
    <n v="1"/>
    <n v="3000000"/>
    <n v="3.3333333333333437E-2"/>
    <n v="3100000"/>
    <n v="1"/>
    <s v="DIA"/>
    <d v="2024-02-05T00:00:00"/>
    <d v="2024-12-06T00:00:00"/>
    <s v="SI"/>
    <d v="2024-02-05T00:00:00"/>
    <d v="2024-12-06T00:00:00"/>
    <n v="31516666.666666664"/>
    <m/>
    <m/>
    <n v="0"/>
    <n v="10"/>
    <n v="31516666.666666664"/>
    <n v="30500000"/>
    <n v="3.3333333333333215E-2"/>
    <n v="80803237"/>
    <s v="EDUIN ARLEY RIVERA TORRES"/>
    <n v="31516666.666666664"/>
    <s v="20.01"/>
    <s v="2.1.2.02.02.009"/>
    <s v="SI"/>
    <m/>
    <s v="CON-068"/>
    <n v="80111600"/>
    <s v="Prestar servicios profesionales para en la Subdirección de Bienestar para realizar el acompañamiento en lo referente a la alimentación, nutrición y dietética de la Escuela Maternal y Restaurante de la UPN."/>
    <d v="2024-02-05T00:00:00"/>
    <d v="2024-02-05T00:00:00"/>
    <n v="10"/>
    <s v="MES(ES)"/>
    <s v="Contratación directa."/>
    <n v="31516666.666666664"/>
    <n v="31516666.666666664"/>
    <s v="NO"/>
    <s v="NA"/>
    <s v="GRUPO DE CONTRATACION UNIVERSIDAD PEDAGOGICA NACIONAL"/>
    <s v="CO-DC"/>
    <s v="SUBDIRECCIÓN DE BIENESTAR UNIVERSITARIO"/>
    <s v="601 5941844"/>
    <s v="contratacion@pedagogica.edu.co"/>
    <s v="NO"/>
    <s v="NO"/>
    <s v="No Aplica"/>
    <s v="Todas"/>
    <s v="Todos"/>
    <s v="No Aplica"/>
    <m/>
    <m/>
  </r>
  <r>
    <s v="06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6954029.303750001"/>
    <n v="-0.19615962145830834"/>
    <n v="1032401108"/>
    <s v="GUARIN SEPULVEDA CRISTHIAN DAVID"/>
    <n v="13628333.333333334"/>
    <s v="20.01"/>
    <s v="2.1.2.02.02.009"/>
    <s v="SI"/>
    <m/>
    <s v="CON-069"/>
    <n v="80111600"/>
    <s v="Prestar servicios profesionales para a la Subdirección de Bienestar para orientar los entrenamientos de baloncesto para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0"/>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2713023"/>
    <s v="GUZMAN VILLAMIL MARIA CLAUDIA"/>
    <n v="13628333.333333334"/>
    <s v="20.01"/>
    <s v="2.1.2.02.02.009"/>
    <s v="SI"/>
    <m/>
    <s v="CON-070"/>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1"/>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5669700"/>
    <s v="JESICA KATTERINE VELASQUEZ CASTILLO"/>
    <n v="13628333.333333334"/>
    <s v="20.01"/>
    <s v="2.1.2.02.02.009"/>
    <s v="SI"/>
    <m/>
    <s v="CON-071"/>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2"/>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80747625"/>
    <s v="DEIBY TRIANA MUÑOZ"/>
    <n v="13628333.333333334"/>
    <s v="20.01"/>
    <s v="2.1.2.02.02.009"/>
    <s v="SI"/>
    <m/>
    <s v="CON-072"/>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3"/>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31125970"/>
    <s v="FABIAN CAMILO ORTEGA MELO"/>
    <n v="13628333.333333334"/>
    <s v="20.01"/>
    <s v="2.1.2.02.02.009"/>
    <s v="SI"/>
    <m/>
    <s v="CON-073"/>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4"/>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922642"/>
    <s v="JOSÉ LEONARDO CRISTIANO FONTECHA"/>
    <n v="13628333.333333334"/>
    <s v="20.01"/>
    <s v="2.1.2.02.02.009"/>
    <s v="SI"/>
    <m/>
    <s v="CON-074"/>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5"/>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50621"/>
    <s v="BURGOS BONILLA LUIS CARLOS"/>
    <n v="13628333.333333334"/>
    <s v="20.01"/>
    <s v="2.1.2.02.02.009"/>
    <s v="SI"/>
    <m/>
    <s v="CON-075"/>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6"/>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24088"/>
    <s v="JIMMY GIOVANNI MORENO GARCÍA"/>
    <n v="13628333.333333334"/>
    <s v="20.01"/>
    <s v="2.1.2.02.02.009"/>
    <s v="SI"/>
    <m/>
    <s v="CON-076"/>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7"/>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3154394"/>
    <s v="YAMILE URQUIJO AVENDAÑO"/>
    <n v="13628333.333333334"/>
    <s v="20.01"/>
    <s v="2.1.2.02.02.009"/>
    <s v="SI"/>
    <m/>
    <s v="CON-077"/>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8"/>
    <s v="GASTOS DE FUNCIONAMIENTO"/>
    <x v="3"/>
    <x v="20"/>
    <s v="DEPORTE"/>
    <s v="Entrenador"/>
    <s v="Servicios profesionales"/>
    <s v="PROFESIONAL UNIVERSITARIO"/>
    <n v="3"/>
    <n v="3425056.4249999998"/>
    <n v="5.1077574583315188E-2"/>
    <n v="3600000"/>
    <n v="1"/>
    <s v="DIA"/>
    <d v="2024-02-13T00:00:00"/>
    <d v="2024-06-06T00:00:00"/>
    <s v="SI"/>
    <d v="2024-02-13T00:00:00"/>
    <d v="2024-06-06T00:00:00"/>
    <n v="13680000"/>
    <d v="2024-08-13T00:00:00"/>
    <d v="2024-11-28T00:00:00"/>
    <n v="12840000"/>
    <n v="7"/>
    <n v="26520000"/>
    <n v="27480369.383250002"/>
    <n v="-3.4947469950508459E-2"/>
    <n v="79449428"/>
    <s v="RICARDO REYES TORRES"/>
    <n v="26520000"/>
    <s v="20.01"/>
    <s v="2.1.2.02.02.009"/>
    <s v="SI"/>
    <m/>
    <s v="CON-078"/>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d v="2024-02-13T00:00:00"/>
    <d v="2024-02-13T00:00:00"/>
    <n v="7"/>
    <s v="MES(ES)"/>
    <s v="Contratación directa."/>
    <n v="26520000"/>
    <n v="26520000"/>
    <s v="NO"/>
    <s v="NA"/>
    <s v="GRUPO DE CONTRATACION UNIVERSIDAD PEDAGOGICA NACIONAL"/>
    <s v="CO-DC"/>
    <s v="SUBDIRECCIÓN DE BIENESTAR UNIVERSITARIO"/>
    <s v="601 5941844"/>
    <s v="contratacion@pedagogica.edu.co"/>
    <s v="NO"/>
    <s v="NO"/>
    <s v="No Aplica"/>
    <s v="Todas"/>
    <s v="Todos"/>
    <s v="No Aplica"/>
    <m/>
    <m/>
  </r>
  <r>
    <s v="079"/>
    <s v="GASTOS DE FUNCIONAMIENTO"/>
    <x v="3"/>
    <x v="20"/>
    <s v="ARTE Y CULTUR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22324245"/>
    <s v="CAMILO ANDRÉS CASADIEGO GUZMAN"/>
    <n v="13628333.333333334"/>
    <s v="20.01"/>
    <s v="2.1.2.02.02.009"/>
    <s v="SI"/>
    <m/>
    <s v="CON-079"/>
    <n v="80111600"/>
    <s v="Prestar servicios profesionales en la Subdirección de Bienestar para orientar el taller de teatro para estudiantes y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Diego Armando Lozano "/>
    <n v="13628333.333333334"/>
    <s v="20.01"/>
    <s v="2.1.2.02.02.009"/>
    <s v="SI"/>
    <m/>
    <s v="CON-080"/>
    <n v="80111600"/>
    <s v="Prestar servicios profesionales en la Subdirección de Bienestar para orientar el taller de músicas del pacifico para estudiantes y funcionario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1"/>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1596583"/>
    <s v="ALFARO URTATIZ MARIA ELISA"/>
    <n v="13628333.333333334"/>
    <s v="20.01"/>
    <s v="2.1.2.02.02.009"/>
    <s v="SI"/>
    <m/>
    <s v="CON-081"/>
    <n v="80111600"/>
    <s v="Prestar servicios profesionales en la Subdirección de Bienestar para orientar los talleres de danza folclórica Colombiana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2"/>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4222525"/>
    <s v="BETANCUR URICOECHEA JUAN CAMILO"/>
    <n v="13628333.333333334"/>
    <s v="20.01"/>
    <s v="2.1.2.02.02.009"/>
    <s v="SI"/>
    <m/>
    <s v="CON-082"/>
    <n v="80111600"/>
    <s v="Prestar servicios profesionales en la Subdirección de Bienestar para orientar el taller de danza urbana pop dance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3"/>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5442192"/>
    <s v="LOZANO CASTIBLANCO LUZ STELLA"/>
    <n v="13628333.333333334"/>
    <s v="20.01"/>
    <s v="2.1.2.02.02.009"/>
    <s v="SI"/>
    <m/>
    <s v="CON-083"/>
    <n v="80111600"/>
    <s v="Prestar servicios profesionales en la Subdirección de Bienestar para orientar los talleres de danza del litoral pacífi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4"/>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2089714"/>
    <s v="INDHIRA ALEXANDRA GUZMAN BARBOSA"/>
    <n v="13628333.333333334"/>
    <s v="20.01"/>
    <s v="2.1.2.02.02.009"/>
    <s v="SI"/>
    <m/>
    <s v="CON-084"/>
    <n v="80111600"/>
    <s v="Prestar servicios profesionales en la Subdirección de Bienestar para orientar los talleres de flamen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5"/>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NN"/>
    <n v="13628333.333333334"/>
    <s v="20.01"/>
    <s v="2.1.2.02.02.009"/>
    <s v="SI"/>
    <m/>
    <s v="CON-085"/>
    <n v="80111600"/>
    <s v="Prestar servicios profesionales en la Subdirección de Bienestar para orientar los talleres de salsa y bachata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6"/>
    <s v="GASTOS DE FUNCIONAMIENTO"/>
    <x v="3"/>
    <x v="20"/>
    <s v="GOAE"/>
    <s v="Servicios Profesionales"/>
    <s v="CPS"/>
    <s v="PROFESIONAL UNIVERSITARIO"/>
    <n v="4"/>
    <n v="3750000"/>
    <n v="4.0000000000000036E-2"/>
    <n v="3900000"/>
    <n v="1"/>
    <s v="DIA"/>
    <d v="2024-02-05T00:00:00"/>
    <d v="2024-12-13T00:00:00"/>
    <s v="NO"/>
    <d v="2024-02-05T00:00:00"/>
    <d v="2024-12-13T00:00:00"/>
    <n v="40560000"/>
    <m/>
    <m/>
    <n v="0"/>
    <n v="10"/>
    <n v="40560000"/>
    <n v="0"/>
    <n v="1"/>
    <m/>
    <s v="NN"/>
    <n v="40560000"/>
    <s v="20.01"/>
    <s v="2.1.2.02.02.009"/>
    <s v="SI"/>
    <m/>
    <s v="CON-086"/>
    <n v="80111600"/>
    <s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
    <d v="2024-02-05T00:00:00"/>
    <d v="2024-02-05T00:00:00"/>
    <n v="10"/>
    <s v="MES(ES)"/>
    <s v="Contratación directa."/>
    <n v="40560000"/>
    <n v="40560000"/>
    <s v="NO"/>
    <s v="NA"/>
    <s v="GRUPO DE CONTRATACION UNIVERSIDAD PEDAGOGICA NACIONAL"/>
    <s v="CO-DC"/>
    <s v="SUBDIRECCIÓN DE BIENESTAR UNIVERSITARIO"/>
    <s v="601 5941844"/>
    <s v="contratacion@pedagogica.edu.co"/>
    <s v="NO"/>
    <s v="NO"/>
    <s v="No Aplica"/>
    <s v="Todas"/>
    <s v="Todos"/>
    <s v="No Aplica"/>
    <m/>
    <m/>
  </r>
  <r>
    <s v="087"/>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12126400"/>
    <n v="0.97255574614065177"/>
    <n v="1077087302"/>
    <s v="GOMEZ PINZON DUMAR HALDAYR"/>
    <n v="23920000"/>
    <s v="20.01"/>
    <s v="2.1.2.02.02.009"/>
    <s v="SI"/>
    <m/>
    <s v="CON-087"/>
    <n v="80111600"/>
    <s v="Prestar sus servicios personales para garantizar la atención en el servicio del gimnasio en Valmaria para los estudiantes y funcionarios de la institución durante las prácticas y entrenamient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8"/>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79309771"/>
    <s v="JOSE JOAQUIN MARTINEZ AYALA"/>
    <n v="23920000"/>
    <s v="20.01"/>
    <s v="2.1.2.02.02.009"/>
    <s v="SI"/>
    <m/>
    <s v="CON-088"/>
    <n v="80111600"/>
    <s v="Prestar sus servicios como salvavidas para garantizar la seguridad para los usuarios de la piscina, durante la jornada de la tarde"/>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9"/>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23901267"/>
    <s v="RAMIREZ RUIZ SONIA GISSEL"/>
    <n v="23920000"/>
    <s v="20.01"/>
    <s v="2.1.2.02.02.009"/>
    <s v="SI"/>
    <m/>
    <s v="CON-089"/>
    <n v="80111600"/>
    <s v="Prestar sus servicios como salvavidas para garantizar la seguridad para los usuarios de la piscina, durante la jornada de la mañana"/>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0"/>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13650846"/>
    <s v="MONTOYA GARZON BRYAN ANDRES"/>
    <n v="23920000"/>
    <s v="20.01"/>
    <s v="2.1.2.02.02.009"/>
    <s v="SI"/>
    <m/>
    <s v="CON-090"/>
    <n v="80111600"/>
    <s v="Prestar sus servicios personales para garantizar la atención en el servicio del gimnasio de la calle 72, con apoyo de las Tics y/o presencialmente cuando se requiera, en la jornada de la mañana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1"/>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53159448"/>
    <s v="MARIA FERNANDA VEGA AFRICANO"/>
    <n v="23920000"/>
    <s v="20.01"/>
    <s v="2.1.2.02.02.009"/>
    <s v="SI"/>
    <m/>
    <s v="CON-091"/>
    <n v="80111600"/>
    <s v="Prestar sus servicios personales para garantizar la atención en el servicio del gimnasio de la calle 72, con apoyo de las Tics y/o presencialmente cuando se requiera, en la jornada de la tarde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2"/>
    <s v="GASTOS DE FUNCIONAMIENTO"/>
    <x v="1"/>
    <x v="22"/>
    <s v="DEPARTAMENTO DE PSICOPEDAGOGÍA"/>
    <s v="Intérpretes - Traductores - Mediadores"/>
    <s v="Consultoría"/>
    <s v="OTRO"/>
    <m/>
    <n v="2287869.722222222"/>
    <n v="0.28146501154458226"/>
    <n v="2931825"/>
    <n v="12"/>
    <s v="DIA"/>
    <d v="2024-02-05T00:00:00"/>
    <d v="2024-12-15T00:00:00"/>
    <s v="SI"/>
    <d v="2024-02-05T00:00:00"/>
    <d v="2024-12-15T00:00:00"/>
    <n v="368237220"/>
    <m/>
    <m/>
    <n v="0"/>
    <n v="10"/>
    <n v="368237220"/>
    <n v="288271585"/>
    <n v="0.27739686865078994"/>
    <m/>
    <s v="VARIOS"/>
    <n v="368237220"/>
    <s v="20.01"/>
    <s v="2.1.2.02.02.009"/>
    <s v="SI"/>
    <m/>
    <s v="CON-092"/>
    <n v="80111600"/>
    <s v="En el proceso de formación de los estudiantes con limitación auditiva aguda se requiere de intérpretes de lengua de señas para espacios académicos en los que participan."/>
    <d v="2024-02-05T00:00:00"/>
    <d v="2024-02-05T00:00:00"/>
    <n v="10"/>
    <s v="MES(ES)"/>
    <s v="Contratación directa."/>
    <n v="368237220"/>
    <n v="368237220"/>
    <s v="NO"/>
    <s v="NA"/>
    <s v="GRUPO DE CONTRATACION UNIVERSIDAD PEDAGOGICA NACIONAL"/>
    <s v="CO-DC"/>
    <s v="FACULTAD DE EDUCACIÓN"/>
    <s v="601 5941844"/>
    <s v="contratacion@pedagogica.edu.co"/>
    <s v="NO"/>
    <s v="NO"/>
    <s v="No Aplica"/>
    <s v="Todas"/>
    <s v="Todos"/>
    <s v="No Aplica"/>
    <m/>
    <m/>
  </r>
  <r>
    <s v="093"/>
    <s v="GASTOS DE FUNCIONAMIENTO"/>
    <x v="1"/>
    <x v="22"/>
    <s v="DEPARTAMENTO DE PSICOPEDAGOGÍA"/>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89009341"/>
    <s v="ELBAN GERARDO ROA DÍAZ"/>
    <n v="40820000"/>
    <s v="20.01"/>
    <s v="2.1.2.02.02.009"/>
    <s v="SI"/>
    <m/>
    <s v="CON-093"/>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d v="2024-02-05T00:00:00"/>
    <d v="2024-02-05T00:00:00"/>
    <n v="10"/>
    <s v="MES(ES)"/>
    <s v="Contratación directa."/>
    <n v="40820000"/>
    <n v="40820000"/>
    <s v="NO"/>
    <s v="NA"/>
    <s v="GRUPO DE CONTRATACION UNIVERSIDAD PEDAGOGICA NACIONAL"/>
    <s v="CO-DC"/>
    <s v="FACULTAD DE EDUCACIÓN"/>
    <s v="601 5941844"/>
    <s v="contratacion@pedagogica.edu.co"/>
    <s v="NO"/>
    <s v="NO"/>
    <s v="No Aplica"/>
    <s v="Todas"/>
    <s v="Todos"/>
    <s v="No Aplica"/>
    <m/>
    <m/>
  </r>
  <r>
    <s v="094"/>
    <s v="GASTOS DE FUNCIONAMIENTO"/>
    <x v="1"/>
    <x v="12"/>
    <s v="DEPARTAMENTO DE QUÍMICA"/>
    <s v="Servicios Profesionales"/>
    <s v="CPS"/>
    <s v="PROFESIONAL UNIVERSITARIO"/>
    <n v="1"/>
    <n v="3000000"/>
    <n v="3.3333333333333437E-2"/>
    <n v="3100000"/>
    <n v="1"/>
    <s v="DIA"/>
    <d v="2024-02-05T00:00:00"/>
    <d v="2024-12-08T00:00:00"/>
    <s v="SI"/>
    <d v="2024-02-05T00:00:00"/>
    <d v="2024-12-08T00:00:00"/>
    <n v="31723333.333333332"/>
    <m/>
    <m/>
    <n v="0"/>
    <n v="10"/>
    <n v="31723333.333333332"/>
    <n v="30500000"/>
    <n v="4.0109289617486388E-2"/>
    <n v="1022351168"/>
    <s v="LINA MARCELA SANCHEZ MEJIA"/>
    <n v="31723333.333333332"/>
    <s v="20.01"/>
    <s v="2.1.2.02.02.009"/>
    <s v="SI"/>
    <m/>
    <s v="CON-094"/>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d v="2024-02-05T00:00:00"/>
    <d v="2024-02-05T00:00:00"/>
    <n v="10"/>
    <s v="MES(ES)"/>
    <s v="Contratación directa."/>
    <n v="31723333.333333332"/>
    <n v="31723333.333333332"/>
    <s v="NO"/>
    <s v="NA"/>
    <s v="GRUPO DE CONTRATACION UNIVERSIDAD PEDAGOGICA NACIONAL"/>
    <s v="CO-DC"/>
    <s v="FACULTAD DE CIENCIA Y TECNOLOGÍA"/>
    <s v="601 5941844"/>
    <s v="contratacion@pedagogica.edu.co"/>
    <s v="NO"/>
    <s v="NO"/>
    <s v="No Aplica"/>
    <s v="Todas"/>
    <s v="Todos"/>
    <s v="No Aplica"/>
    <m/>
    <m/>
  </r>
  <r>
    <s v="095"/>
    <s v="GASTOS DE FUNCIONAMIENTO"/>
    <x v="4"/>
    <x v="23"/>
    <m/>
    <s v="Servicios Profesionales"/>
    <s v="CPS"/>
    <s v="PROFESIONAL UNIVERSITARIO"/>
    <n v="1"/>
    <n v="3000000"/>
    <n v="3.3333333333333437E-2"/>
    <n v="3100000"/>
    <n v="1"/>
    <s v="DIA"/>
    <d v="2024-01-15T00:00:00"/>
    <d v="2024-12-06T00:00:00"/>
    <s v="SI"/>
    <d v="2024-01-15T00:00:00"/>
    <d v="2024-12-06T00:00:00"/>
    <n v="33686666.666666672"/>
    <m/>
    <m/>
    <n v="0"/>
    <n v="11"/>
    <n v="33686666.666666672"/>
    <n v="33300000"/>
    <n v="1.1611611611611838E-2"/>
    <n v="1082966673"/>
    <s v="JENIFFER GISSEL LOPEZ IBARRA"/>
    <n v="33686666.666666672"/>
    <s v="20.01"/>
    <s v="2.1.2.02.02.008"/>
    <s v="SI"/>
    <m/>
    <s v="CON-095"/>
    <n v="80111600"/>
    <s v="Prestar servicios de acompañamiento jurídico y administrativo, para documentar y sustentar los asuntos y temas  sometidos a consideración de la Dirección del instituto_x000a_Pedagógico Nacional"/>
    <d v="2024-01-15T00:00:00"/>
    <d v="2024-01-15T00:00:00"/>
    <n v="11"/>
    <s v="MES(ES)"/>
    <s v="Contratación directa."/>
    <n v="33686666.666666672"/>
    <n v="33686666.666666672"/>
    <s v="NO"/>
    <s v="NA"/>
    <s v="GRUPO DE CONTRATACION UNIVERSIDAD PEDAGOGICA NACIONAL"/>
    <s v="CO-DC"/>
    <s v="INSTITUTO PEDAGÓGICO NACIONAL"/>
    <s v="601 5941844"/>
    <s v="contratacion@pedagogica.edu.co"/>
    <s v="NO"/>
    <s v="NO"/>
    <s v="No Aplica"/>
    <s v="Todas"/>
    <s v="Todos"/>
    <s v="No Aplica"/>
    <m/>
    <m/>
  </r>
  <r>
    <s v="096"/>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1121937406"/>
    <s v="LEYDI JOHANA GARZON ROJAS"/>
    <n v="23383333.333333332"/>
    <s v="20.01"/>
    <s v="2.1.2.02.02.009"/>
    <s v="SI"/>
    <m/>
    <s v="CON-096"/>
    <n v="80111600"/>
    <s v="Prestar los servicios de Auxiliar de Enfermería al Instituto pedagógico Nacional. Apoyar la asistencia a estudiantes y realizar el acompañamiento a los casos asignado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097"/>
    <s v="GASTOS DE FUNCIONAMIENTO"/>
    <x v="4"/>
    <x v="23"/>
    <m/>
    <s v="Servicios Asistenciales"/>
    <s v="CPS"/>
    <s v="ASISTENCIAL"/>
    <n v="2"/>
    <n v="1600000"/>
    <n v="9.375E-2"/>
    <n v="1750000"/>
    <n v="1"/>
    <s v="DIA"/>
    <d v="2024-02-05T00:00:00"/>
    <d v="2024-12-06T00:00:00"/>
    <s v="SI"/>
    <d v="2024-02-05T00:00:00"/>
    <d v="2024-12-06T00:00:00"/>
    <n v="17791666.666666664"/>
    <m/>
    <m/>
    <n v="0"/>
    <n v="10"/>
    <n v="17791666.666666664"/>
    <n v="16266666.666666666"/>
    <n v="9.375E-2"/>
    <n v="79530858"/>
    <s v="LUIS FERNANDO CRUZ MORENO"/>
    <n v="17791666.666666664"/>
    <s v="20.01"/>
    <s v="2.1.2.02.02.008"/>
    <s v="SI"/>
    <m/>
    <s v="CON-097"/>
    <n v="80111600"/>
    <s v="Apoyo asistencial en el servicio de fotocopiado para el desarrollo de actividades administrativas y operativas derivadas de las actividades académicas del Instituto Pedagógico Nacional"/>
    <d v="2024-02-05T00:00:00"/>
    <d v="2024-02-05T00:00:00"/>
    <n v="10"/>
    <s v="MES(ES)"/>
    <s v="Contratación directa."/>
    <n v="17791666.666666664"/>
    <n v="17791666.666666664"/>
    <s v="NO"/>
    <s v="NA"/>
    <s v="GRUPO DE CONTRATACION UNIVERSIDAD PEDAGOGICA NACIONAL"/>
    <s v="CO-DC"/>
    <s v="INSTITUTO PEDAGÓGICO NACIONAL"/>
    <s v="601 5941844"/>
    <s v="contratacion@pedagogica.edu.co"/>
    <s v="NO"/>
    <s v="NO"/>
    <s v="No Aplica"/>
    <s v="Todas"/>
    <s v="Todos"/>
    <s v="No Aplica"/>
    <m/>
    <m/>
  </r>
  <r>
    <s v="098"/>
    <s v="GASTOS DE FUNCIONAMIENTO"/>
    <x v="4"/>
    <x v="23"/>
    <m/>
    <s v="Servicios Asistenciales"/>
    <s v="CPS"/>
    <s v="ASISTENCIAL"/>
    <n v="2"/>
    <n v="1600000"/>
    <n v="9.375E-2"/>
    <n v="1750000"/>
    <n v="1"/>
    <s v="DIA"/>
    <d v="2024-01-15T00:00:00"/>
    <d v="2024-12-06T00:00:00"/>
    <s v="SI"/>
    <d v="2024-01-15T00:00:00"/>
    <d v="2024-12-06T00:00:00"/>
    <n v="19016666.666666668"/>
    <m/>
    <m/>
    <n v="0"/>
    <n v="11"/>
    <n v="19016666.666666668"/>
    <n v="17386666.666666668"/>
    <n v="9.375E-2"/>
    <n v="1073519478"/>
    <s v="LAURA ANDREA MACIAS OLANO"/>
    <n v="19016666.666666668"/>
    <s v="20.01"/>
    <s v="2.1.2.02.02.009"/>
    <s v="SI"/>
    <m/>
    <s v="CON-098"/>
    <n v="80111600"/>
    <s v="Prestación de servicios para el apoyo a la atención a estudiantes, padres de familia, profesores y organización y conservación del archivo del área de orientación escolar"/>
    <d v="2024-01-15T00:00:00"/>
    <d v="2024-01-15T00:00:00"/>
    <n v="11"/>
    <s v="MES(ES)"/>
    <s v="Contratación directa."/>
    <n v="19016666.666666668"/>
    <n v="19016666.666666668"/>
    <s v="NO"/>
    <s v="NA"/>
    <s v="GRUPO DE CONTRATACION UNIVERSIDAD PEDAGOGICA NACIONAL"/>
    <s v="CO-DC"/>
    <s v="INSTITUTO PEDAGÓGICO NACIONAL"/>
    <s v="601 5941844"/>
    <s v="contratacion@pedagogica.edu.co"/>
    <s v="NO"/>
    <s v="NO"/>
    <s v="No Aplica"/>
    <s v="Todas"/>
    <s v="Todos"/>
    <s v="No Aplica"/>
    <m/>
    <m/>
  </r>
  <r>
    <s v="099"/>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41242571"/>
    <s v="SANDRA CONSTANZA ESPITIA OLIVEIRA"/>
    <n v="23383333.333333332"/>
    <s v="20.01"/>
    <s v="2.1.2.02.02.008"/>
    <s v="SI"/>
    <m/>
    <s v="CON-099"/>
    <n v="80111600"/>
    <s v="Prestar los servicios para llevar a cabo la organización del archivo del Instituto Pedagógico Nacional, de acuerdo a la normatividad vigente y apoyar actividades institucionale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100"/>
    <s v="GASTOS DE COMERCIALIZACIÓN Y PRODUCCIÓN"/>
    <x v="2"/>
    <x v="24"/>
    <m/>
    <s v="Servicios Técnicos"/>
    <s v="CPS"/>
    <s v="TÉCNICO"/>
    <n v="1"/>
    <n v="2200000"/>
    <n v="4.5454545454545414E-2"/>
    <n v="2300000"/>
    <n v="1"/>
    <s v="DIA"/>
    <d v="2024-02-05T00:00:00"/>
    <d v="2024-12-08T00:00:00"/>
    <s v="SI"/>
    <d v="2024-02-05T00:00:00"/>
    <d v="2024-12-08T00:00:00"/>
    <n v="23536666.666666664"/>
    <m/>
    <m/>
    <n v="0"/>
    <n v="10"/>
    <n v="23536666.666666664"/>
    <n v="22733333.333333336"/>
    <n v="3.5337243401759366E-2"/>
    <n v="21018921"/>
    <s v="LADY CONSTANZA MONROY ROJAS"/>
    <n v="23536666.666666664"/>
    <s v="20.01"/>
    <s v="2.1.2.02.02.008"/>
    <s v="SI"/>
    <m/>
    <s v="CON-100"/>
    <n v="80111600"/>
    <s v="Apoyar y realizar las actividades de la gestión documental del proceso de extensión llevado a cabo bajo las distintas modalidades, considerando las series históricas y las tablas de retención documental de la dependencia."/>
    <d v="2024-02-05T00:00:00"/>
    <d v="2024-02-05T00:00:00"/>
    <n v="10"/>
    <s v="MES(ES)"/>
    <s v="Contratación directa."/>
    <n v="23536666.666666664"/>
    <n v="23536666.666666664"/>
    <s v="NO"/>
    <s v="NA"/>
    <s v="GRUPO DE CONTRATACION UNIVERSIDAD PEDAGOGICA NACIONAL"/>
    <s v="CO-DC"/>
    <s v="SUBDIRECCIÓN DE ASESORÍAS Y EXTENSIÓN"/>
    <s v="601 5941844"/>
    <s v="contratacion@pedagogica.edu.co"/>
    <s v="NO"/>
    <s v="NO"/>
    <s v="No Aplica"/>
    <s v="Todas"/>
    <s v="Todos"/>
    <s v="No Aplica"/>
    <m/>
    <m/>
  </r>
  <r>
    <s v="101"/>
    <s v="GASTOS DE COMERCIALIZACIÓN Y PRODUCCIÓN"/>
    <x v="2"/>
    <x v="24"/>
    <m/>
    <s v="Servicios Profesionales"/>
    <s v="CPS"/>
    <s v="PROFESIONAL ESPECIALIZADO"/>
    <n v="6"/>
    <n v="6000000"/>
    <n v="3.3333333333333437E-2"/>
    <n v="6200000"/>
    <n v="1"/>
    <s v="DIA"/>
    <d v="2024-02-05T00:00:00"/>
    <d v="2024-12-08T00:00:00"/>
    <s v="SI"/>
    <d v="2024-02-05T00:00:00"/>
    <d v="2024-12-08T00:00:00"/>
    <n v="63446666.666666664"/>
    <m/>
    <m/>
    <n v="0"/>
    <n v="10"/>
    <n v="63446666.666666664"/>
    <n v="61000000"/>
    <n v="4.0109289617486388E-2"/>
    <n v="49778517"/>
    <s v="OLGA BIBIANA BOLIVAR BAUTISTA"/>
    <n v="63446666.666666664"/>
    <s v="20.01"/>
    <s v="2.1.2.02.02.008"/>
    <s v="SI"/>
    <m/>
    <s v="CON-101"/>
    <n v="80111600"/>
    <s v="Prestar los servicios para la formulación y seguimiento de proyectos articulando el componente académico para potenciar las alianzas con instancias Nacionales e Internacionales."/>
    <d v="2024-02-05T00:00:00"/>
    <d v="2024-02-05T00:00:00"/>
    <n v="10"/>
    <s v="MES(ES)"/>
    <s v="Contratación directa."/>
    <n v="63446666.666666664"/>
    <n v="63446666.666666664"/>
    <s v="NO"/>
    <s v="NA"/>
    <s v="GRUPO DE CONTRATACION UNIVERSIDAD PEDAGOGICA NACIONAL"/>
    <s v="CO-DC"/>
    <s v="SUBDIRECCIÓN DE ASESORÍAS Y EXTENSIÓN"/>
    <s v="601 5941844"/>
    <s v="contratacion@pedagogica.edu.co"/>
    <s v="NO"/>
    <s v="NO"/>
    <s v="No Aplica"/>
    <s v="Todas"/>
    <s v="Todos"/>
    <s v="No Aplica"/>
    <m/>
    <m/>
  </r>
  <r>
    <s v="102"/>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356564"/>
    <s v="JULIA LILIANA RÍOS HERRERA"/>
    <n v="54748333.333333328"/>
    <s v="20.01"/>
    <s v="2.1.2.02.02.008"/>
    <s v="SI"/>
    <m/>
    <s v="CON-102"/>
    <n v="80111600"/>
    <s v="Prestar los servicios para la formulación y seguimiento de proyectos de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3"/>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211167"/>
    <s v="GELVEZ RUIZ DIANA ELISA"/>
    <n v="54748333.333333328"/>
    <s v="20.01"/>
    <s v="2.1.2.02.02.008"/>
    <s v="SI"/>
    <m/>
    <s v="CON-103"/>
    <n v="80111600"/>
    <s v="Prestar los servicios para la formulación y seguimiento de proyectos de asesorías y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4"/>
    <s v="GASTOS DE COMERCIALIZACIÓN Y PRODUCCIÓN"/>
    <x v="2"/>
    <x v="25"/>
    <m/>
    <s v="Servicios Profesionales"/>
    <s v="CPS"/>
    <s v="OTRO"/>
    <m/>
    <n v="1967592.5925925926"/>
    <n v="5.0000000000000044E-2"/>
    <n v="2065972.2222222222"/>
    <n v="108"/>
    <s v="DIA"/>
    <d v="2024-02-11T00:00:00"/>
    <d v="2024-06-20T00:00:00"/>
    <s v="SI"/>
    <d v="2024-02-05T00:00:00"/>
    <d v="2024-06-20T00:00:00"/>
    <n v="1011500000"/>
    <d v="2024-08-01T00:00:00"/>
    <d v="2024-11-30T00:00:00"/>
    <n v="899937500"/>
    <n v="9"/>
    <n v="1911437500"/>
    <n v="1750000000"/>
    <n v="9.2249999999999943E-2"/>
    <m/>
    <s v="ACOSTA REYES JENNY ALEJANDRA"/>
    <n v="1911437500"/>
    <s v="20.01"/>
    <s v="2.1.5.02.09"/>
    <s v="SI"/>
    <m/>
    <s v="CON-104"/>
    <n v="80111600"/>
    <s v="Contribuir con el proceso de formación de las actividades académicas programadas por el Centro de Lenguas"/>
    <d v="2024-02-05T00:00:00"/>
    <d v="2024-02-05T00:00:00"/>
    <n v="9"/>
    <s v="MES(ES)"/>
    <s v="Contratación directa."/>
    <n v="1911437500"/>
    <n v="1911437500"/>
    <s v="NO"/>
    <s v="NA"/>
    <s v="GRUPO DE CONTRATACION UNIVERSIDAD PEDAGOGICA NACIONAL"/>
    <s v="CO-DC"/>
    <s v="CENTRO DE LENGUAS "/>
    <s v="601 5941844"/>
    <s v="contratacion@pedagogica.edu.co"/>
    <s v="NO"/>
    <s v="NO"/>
    <s v="No Aplica"/>
    <s v="Todas"/>
    <s v="Todos"/>
    <s v="No Aplica"/>
    <m/>
    <m/>
  </r>
  <r>
    <s v="105"/>
    <s v="GASTOS DE COMERCIALIZACIÓN Y PRODUCCIÓN"/>
    <x v="2"/>
    <x v="26"/>
    <m/>
    <s v="Servicios Asistenciales"/>
    <s v="CPS"/>
    <s v="ASISTENCIAL"/>
    <n v="1"/>
    <n v="1600000"/>
    <n v="3.125E-2"/>
    <n v="1650000"/>
    <n v="1"/>
    <s v="DIA"/>
    <d v="2024-02-05T00:00:00"/>
    <d v="2024-12-08T00:00:00"/>
    <s v="SI"/>
    <d v="2024-02-05T00:00:00"/>
    <d v="2024-12-08T00:00:00"/>
    <n v="16885000"/>
    <m/>
    <m/>
    <n v="0"/>
    <n v="10"/>
    <n v="16885000"/>
    <n v="16000000"/>
    <n v="5.5312500000000098E-2"/>
    <m/>
    <m/>
    <m/>
    <s v="20.01"/>
    <s v="2.1.5.02.08"/>
    <s v="SI"/>
    <m/>
    <s v="CON-105"/>
    <n v="80111600"/>
    <s v="prestar servicios en el Centro de Lenguas realizando actividades propias de gestión documental, así como el apoyo a las demás actividades administrativas que le sean asignadas."/>
    <d v="2024-02-05T00:00:00"/>
    <d v="2024-02-05T00:00:00"/>
    <n v="10"/>
    <s v="MES(ES)"/>
    <s v="Contratación directa."/>
    <n v="16885000"/>
    <n v="16885000"/>
    <s v="NO"/>
    <s v="NA"/>
    <s v="GRUPO DE CONTRATACION UNIVERSIDAD PEDAGOGICA NACIONAL"/>
    <s v="CO-DC"/>
    <s v="CENTRO DE LENGUAS "/>
    <s v="601 5941844"/>
    <s v="contratacion@pedagogica.edu.co"/>
    <s v="NO"/>
    <s v="NO"/>
    <s v="No Aplica"/>
    <s v="Todas"/>
    <s v="Todos"/>
    <s v="No Aplica"/>
    <m/>
    <m/>
  </r>
  <r>
    <s v="106"/>
    <s v="GASTOS DE COMERCIALIZACIÓN Y PRODUCCIÓN"/>
    <x v="2"/>
    <x v="26"/>
    <m/>
    <s v="Servicios Técnicos"/>
    <s v="CPS"/>
    <s v="OTRO"/>
    <m/>
    <n v="717210"/>
    <n v="5.0000000000000044E-2"/>
    <n v="753070.5"/>
    <n v="1"/>
    <s v="DIA"/>
    <d v="2024-02-05T00:00:00"/>
    <d v="2024-12-08T00:00:00"/>
    <s v="SI"/>
    <d v="2024-02-05T00:00:00"/>
    <d v="2024-12-08T00:00:00"/>
    <n v="7706421.4499999993"/>
    <m/>
    <m/>
    <n v="0"/>
    <n v="10"/>
    <n v="7706421.4499999993"/>
    <n v="6454890"/>
    <n v="0.19388888888888878"/>
    <m/>
    <m/>
    <m/>
    <s v="20.01"/>
    <s v="2.1.5.02.09"/>
    <s v="SI"/>
    <m/>
    <s v="CON-106"/>
    <n v="80111600"/>
    <s v="Apoyar el  desarrollo de las actividades académicas programadas por el Centro de Lenguas que se adelanten en la sede del Instituto Pedagógico Nacional – IPN, prestando el servicio a los estudiantes y tutores en primeros auxilios y atención primaria en enfermería  .  "/>
    <d v="2024-02-05T00:00:00"/>
    <d v="2024-02-05T00:00:00"/>
    <n v="10"/>
    <s v="MES(ES)"/>
    <s v="Contratación directa."/>
    <n v="7706421.4499999993"/>
    <n v="7706421.4499999993"/>
    <s v="NO"/>
    <s v="NA"/>
    <s v="GRUPO DE CONTRATACION UNIVERSIDAD PEDAGOGICA NACIONAL"/>
    <s v="CO-DC"/>
    <s v="CENTRO DE LENGUAS "/>
    <s v="601 5941844"/>
    <s v="contratacion@pedagogica.edu.co"/>
    <s v="NO"/>
    <s v="SI"/>
    <s v="No Aplica"/>
    <s v="Todas"/>
    <s v="Todos"/>
    <s v="No Aplica"/>
    <m/>
    <m/>
  </r>
  <r>
    <s v="107"/>
    <s v="GASTOS DE FUNCIONAMIENTO"/>
    <x v="3"/>
    <x v="14"/>
    <m/>
    <s v="Servicios Profesionales"/>
    <s v="CPS"/>
    <s v="PROFESIONAL ESPECIALIZADO"/>
    <n v="6"/>
    <n v="6000000"/>
    <n v="3.3333333333333437E-2"/>
    <n v="6200000"/>
    <n v="1"/>
    <s v="DIA"/>
    <d v="2024-01-22T00:00:00"/>
    <d v="2024-12-27T00:00:00"/>
    <s v="SI"/>
    <d v="2024-01-22T00:00:00"/>
    <d v="2024-12-27T00:00:00"/>
    <n v="70266666.666666672"/>
    <m/>
    <m/>
    <n v="0"/>
    <n v="11"/>
    <n v="70266666.666666672"/>
    <n v="47400000"/>
    <n v="0.48241912798874842"/>
    <n v="53017352"/>
    <s v="KAREN VIVIANA RENGIFO PÉREZ"/>
    <n v="70266666.666666672"/>
    <s v="20.01"/>
    <s v="2.1.2.02.02.008"/>
    <s v="SI"/>
    <m/>
    <s v="CON-107"/>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2024-01-22T00:00:00"/>
    <d v="2024-01-22T00:00:00"/>
    <n v="11"/>
    <s v="MES(ES)"/>
    <s v="Contratación directa."/>
    <n v="70266666.666666672"/>
    <n v="70266666.666666672"/>
    <s v="NO"/>
    <s v="NA"/>
    <s v="GRUPO DE CONTRATACION UNIVERSIDAD PEDAGOGICA NACIONAL"/>
    <s v="CO-DC"/>
    <s v="DESPACHO VAD"/>
    <s v="601 5941844"/>
    <s v="contratacion@pedagogica.edu.co"/>
    <s v="NO"/>
    <s v="NO"/>
    <s v="No Aplica"/>
    <s v="Todas"/>
    <s v="Todos"/>
    <s v="No Aplica"/>
    <m/>
    <m/>
  </r>
  <r>
    <s v="108"/>
    <s v="GASTOS DE FUNCIONAMIENTO"/>
    <x v="2"/>
    <x v="27"/>
    <m/>
    <s v="Servicios Profesionales"/>
    <s v="CPS"/>
    <s v="PROFESIONAL ESPECIALIZADO"/>
    <n v="1"/>
    <n v="4550000"/>
    <n v="3.2967032967033072E-2"/>
    <n v="4700000"/>
    <n v="1"/>
    <s v="DIA"/>
    <d v="2024-02-05T00:00:00"/>
    <d v="2024-11-30T00:00:00"/>
    <s v="NO"/>
    <d v="2024-02-05T00:00:00"/>
    <d v="2024-11-30T00:00:00"/>
    <n v="46843333.333333336"/>
    <m/>
    <m/>
    <n v="0"/>
    <n v="10"/>
    <n v="46843333.333333336"/>
    <n v="31850000"/>
    <n v="0.47074829931972806"/>
    <n v="1026260280"/>
    <s v="JUAGIBIOY JUAGIBIOY ANGELA JULYET"/>
    <n v="46843333.333333336"/>
    <s v="20.01"/>
    <s v="2.1.5.02.09"/>
    <s v="SI"/>
    <m/>
    <s v="CON-108"/>
    <n v="80111600"/>
    <s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
    <d v="2024-02-05T00:00:00"/>
    <d v="2024-02-05T00:00:00"/>
    <n v="10"/>
    <s v="MES(ES)"/>
    <s v="Contratación directa."/>
    <n v="46843333.333333336"/>
    <n v="46843333.333333336"/>
    <s v="NO"/>
    <s v="NA"/>
    <s v="GRUPO DE CONTRATACION UNIVERSIDAD PEDAGOGICA NACIONAL"/>
    <s v="CO-DC"/>
    <s v="CENTRO DE EGRESADOS"/>
    <s v="601 5941844"/>
    <s v="contratacion@pedagogica.edu.co"/>
    <s v="NO"/>
    <s v="NO"/>
    <s v="No Aplica"/>
    <s v="Todas"/>
    <s v="Todos"/>
    <s v="No Aplica"/>
    <m/>
    <m/>
  </r>
  <r>
    <s v="10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09"/>
    <n v="80111600"/>
    <s v="Prestar los servicios para planificar, realizar y acompañar los entrenamientos de Tennis de campo a los equipos representativos de la UPN y apoyar la organización del torneo SUE-DC."/>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0"/>
    <n v="80111600"/>
    <s v="Prestar los servicios para orientar los talleres de percusión folclórica y tamboras, dirigidos a los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1"/>
    <s v="GASTOS DE FUNCIONAMIENTO"/>
    <x v="0"/>
    <x v="1"/>
    <m/>
    <s v="Servicios Profesionales"/>
    <s v="CPS"/>
    <s v="PROFESIONAL UNIVERSITARIO"/>
    <n v="4"/>
    <n v="3700000"/>
    <n v="5.4054054054053946E-2"/>
    <n v="3900000"/>
    <n v="1"/>
    <s v="DIA"/>
    <d v="2024-02-05T00:00:00"/>
    <d v="2024-12-13T00:00:00"/>
    <s v="SI"/>
    <d v="2024-02-05T00:00:00"/>
    <d v="2024-12-13T00:00:00"/>
    <n v="40560000"/>
    <m/>
    <m/>
    <n v="0"/>
    <n v="10"/>
    <n v="40560000"/>
    <n v="21000000"/>
    <n v="0.93142857142857149"/>
    <m/>
    <s v="JULIETH ALEJANDRA VILLALOBOS LEON"/>
    <n v="40560000"/>
    <s v="20.01"/>
    <s v="2.1.2.02.02.008"/>
    <s v="SI"/>
    <m/>
    <s v="CON-111"/>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2024-02-05T00:00:00"/>
    <d v="2024-02-05T00:00:00"/>
    <n v="10"/>
    <s v="MES(ES)"/>
    <s v="Contratación directa."/>
    <n v="40560000"/>
    <n v="40560000"/>
    <s v="NO"/>
    <s v="NA"/>
    <s v="GRUPO DE CONTRATACION UNIVERSIDAD PEDAGOGICA NACIONAL"/>
    <s v="CO-DC"/>
    <s v="OFICINA DE COMUNICACIONES"/>
    <s v="601 5941844"/>
    <s v="contratacion@pedagogica.edu.co"/>
    <s v="NO"/>
    <s v="NO"/>
    <s v="No Aplica"/>
    <s v="Todas"/>
    <s v="Todos"/>
    <s v="No Aplica"/>
    <m/>
    <m/>
  </r>
  <r>
    <s v="112"/>
    <s v="GASTOS DE FUNCIONAMIENTO"/>
    <x v="2"/>
    <x v="28"/>
    <m/>
    <s v="Servicios Profesionales"/>
    <s v="CPS "/>
    <s v="PROFESIONAL UNIVERSITARIO"/>
    <n v="4"/>
    <n v="3700000"/>
    <n v="5.4054054054053946E-2"/>
    <n v="3900000"/>
    <n v="1"/>
    <s v="DIA"/>
    <d v="2024-02-05T00:00:00"/>
    <d v="2024-11-30T00:00:00"/>
    <s v="SI"/>
    <d v="2024-02-05T00:00:00"/>
    <d v="2024-11-30T00:00:00"/>
    <n v="38870000"/>
    <m/>
    <m/>
    <n v="0"/>
    <n v="10"/>
    <n v="38870000"/>
    <n v="21000000"/>
    <n v="0.8509523809523809"/>
    <m/>
    <m/>
    <n v="38870000"/>
    <s v="20.01"/>
    <s v="2.3.2.02.02.008  "/>
    <s v="SI"/>
    <m/>
    <s v="CON-112"/>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d v="2024-02-05T00:00:00"/>
    <d v="2024-02-05T00:00:00"/>
    <n v="10"/>
    <s v="MES(ES)"/>
    <s v="Contratación directa."/>
    <n v="38870000"/>
    <n v="38870000"/>
    <s v="NO"/>
    <s v="NA"/>
    <s v="GRUPO DE CONTRATACION UNIVERSIDAD PEDAGOGICA NACIONAL"/>
    <s v="CO-DC"/>
    <s v="SUBDIRECCION DE GESTION DE PROYECTOS "/>
    <s v="601 5941844"/>
    <s v="contratacion@pedagogica.edu.co"/>
    <s v="NO"/>
    <s v="NO"/>
    <s v="No Aplica"/>
    <s v="Todas"/>
    <s v="Todos"/>
    <s v="No Aplica"/>
    <m/>
    <m/>
  </r>
  <r>
    <s v="113"/>
    <s v="GASTOS DE FUNCIONAMIENTO"/>
    <x v="3"/>
    <x v="20"/>
    <s v="DEPORTE"/>
    <s v="Entrenador"/>
    <s v="Servicios profesionales"/>
    <s v="ASISTENCIAL"/>
    <n v="3"/>
    <n v="1750000"/>
    <n v="5.7142857142857162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3"/>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4"/>
    <s v="GASTOS DE FUNCIONAMIENTO"/>
    <x v="2"/>
    <x v="27"/>
    <m/>
    <m/>
    <s v="Consultoría"/>
    <s v="OTRO"/>
    <n v="1"/>
    <n v="1430000"/>
    <n v="5.0000000000000044E-2"/>
    <n v="1501500"/>
    <n v="1"/>
    <s v="DIA"/>
    <d v="2024-02-05T00:00:00"/>
    <d v="2024-12-22T00:00:00"/>
    <s v="SI"/>
    <d v="2024-02-05T00:00:00"/>
    <d v="2024-12-22T00:00:00"/>
    <n v="16066049.999999998"/>
    <m/>
    <m/>
    <n v="0"/>
    <n v="11"/>
    <n v="16066049.999999998"/>
    <n v="1430000"/>
    <n v="10.234999999999999"/>
    <m/>
    <m/>
    <n v="16066049.999999998"/>
    <s v="20.01"/>
    <s v="2.1.2.02.02.009"/>
    <s v="SI"/>
    <m/>
    <s v="CON-114"/>
    <n v="80111600"/>
    <s v="Prestar servicios profesionales para apoyar el proceso de verificación de hojas de vida de los_x000a_egresados de la UPN"/>
    <d v="2024-02-05T00:00:00"/>
    <d v="2024-02-05T00:00:00"/>
    <n v="11"/>
    <s v="MES(ES)"/>
    <s v="Contratación directa."/>
    <n v="16066049.999999998"/>
    <n v="16066049.999999998"/>
    <s v="NO"/>
    <s v="NA"/>
    <s v="GRUPO DE CONTRATACION UNIVERSIDAD PEDAGOGICA NACIONAL"/>
    <s v="CO-DC"/>
    <s v="CENTRO DE EGRESADOS"/>
    <s v="601 5941844"/>
    <s v="contratacion@pedagogica.edu.co"/>
    <s v="NO"/>
    <s v="NO"/>
    <s v="No Aplica"/>
    <s v="Todas"/>
    <s v="Todos"/>
    <s v="No Aplica"/>
    <m/>
    <m/>
  </r>
  <r>
    <s v="115"/>
    <s v="GASTOS DE FUNCIONAMIENTO"/>
    <x v="3"/>
    <x v="20"/>
    <s v="DESPACHO SBU"/>
    <s v="Ingeniero"/>
    <s v="Servicios profesionales"/>
    <s v="PROFESIONAL ESPECIALIZADO"/>
    <n v="3"/>
    <n v="5000000"/>
    <n v="7.0000000000000062E-2"/>
    <n v="5350000"/>
    <n v="1"/>
    <s v="DIA"/>
    <d v="2024-02-05T00:00:00"/>
    <d v="2024-12-13T00:00:00"/>
    <s v="NO"/>
    <d v="2024-02-05T00:00:00"/>
    <d v="2024-12-13T00:00:00"/>
    <n v="55640000"/>
    <m/>
    <m/>
    <n v="0"/>
    <n v="10"/>
    <n v="55640000"/>
    <n v="14276776.049999999"/>
    <n v="2.8972384104883404"/>
    <m/>
    <m/>
    <n v="55640000"/>
    <s v="20.01"/>
    <s v="2.1.2.02.02.009"/>
    <s v="SI"/>
    <m/>
    <s v="CON-115"/>
    <n v="80111600"/>
    <s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
    <d v="2024-02-05T00:00:00"/>
    <d v="2024-02-05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m/>
    <m/>
    <x v="5"/>
    <x v="29"/>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2B1F0E-FB0E-4D7B-B70E-7276A2F8EB42}" name="TablaDinámica2"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3:E33" firstHeaderRow="0" firstDataRow="1" firstDataCol="2"/>
  <pivotFields count="5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1"/>
        <item x="3"/>
        <item x="2"/>
        <item x="5"/>
      </items>
      <extLst>
        <ext xmlns:x14="http://schemas.microsoft.com/office/spreadsheetml/2009/9/main" uri="{2946ED86-A175-432a-8AC1-64E0C546D7DE}">
          <x14:pivotField fillDownLabels="1"/>
        </ext>
      </extLst>
    </pivotField>
    <pivotField axis="axisRow" compact="0" outline="0" showAll="0" defaultSubtotal="0">
      <items count="30">
        <item x="7"/>
        <item x="27"/>
        <item x="25"/>
        <item x="10"/>
        <item x="8"/>
        <item x="14"/>
        <item x="11"/>
        <item x="12"/>
        <item x="22"/>
        <item x="21"/>
        <item x="18"/>
        <item x="13"/>
        <item x="23"/>
        <item x="1"/>
        <item x="3"/>
        <item x="5"/>
        <item x="4"/>
        <item x="6"/>
        <item x="0"/>
        <item x="2"/>
        <item x="9"/>
        <item x="24"/>
        <item x="20"/>
        <item x="28"/>
        <item x="19"/>
        <item x="16"/>
        <item x="17"/>
        <item x="15"/>
        <item x="26"/>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30">
    <i>
      <x/>
      <x v="12"/>
    </i>
    <i>
      <x v="1"/>
      <x/>
    </i>
    <i r="1">
      <x v="13"/>
    </i>
    <i r="1">
      <x v="14"/>
    </i>
    <i r="1">
      <x v="15"/>
    </i>
    <i r="1">
      <x v="16"/>
    </i>
    <i r="1">
      <x v="17"/>
    </i>
    <i r="1">
      <x v="18"/>
    </i>
    <i r="1">
      <x v="19"/>
    </i>
    <i>
      <x v="2"/>
      <x v="3"/>
    </i>
    <i r="1">
      <x v="4"/>
    </i>
    <i r="1">
      <x v="6"/>
    </i>
    <i r="1">
      <x v="7"/>
    </i>
    <i r="1">
      <x v="8"/>
    </i>
    <i r="1">
      <x v="9"/>
    </i>
    <i r="1">
      <x v="20"/>
    </i>
    <i>
      <x v="3"/>
      <x v="5"/>
    </i>
    <i r="1">
      <x v="10"/>
    </i>
    <i r="1">
      <x v="22"/>
    </i>
    <i r="1">
      <x v="24"/>
    </i>
    <i r="1">
      <x v="25"/>
    </i>
    <i r="1">
      <x v="26"/>
    </i>
    <i r="1">
      <x v="27"/>
    </i>
    <i>
      <x v="4"/>
      <x v="1"/>
    </i>
    <i r="1">
      <x v="2"/>
    </i>
    <i r="1">
      <x v="11"/>
    </i>
    <i r="1">
      <x v="21"/>
    </i>
    <i r="1">
      <x v="23"/>
    </i>
    <i r="1">
      <x v="28"/>
    </i>
    <i>
      <x v="5"/>
      <x v="29"/>
    </i>
  </rowItems>
  <colFields count="1">
    <field x="-2"/>
  </colFields>
  <colItems count="3">
    <i>
      <x/>
    </i>
    <i i="1">
      <x v="1"/>
    </i>
    <i i="2">
      <x v="2"/>
    </i>
  </colItems>
  <dataFields count="3">
    <dataField name="Cuenta de CENTRO RESPONSABILIDAD" fld="2" subtotal="count" baseField="0" baseItem="0"/>
    <dataField name="Suma de Valor Anual" fld="24" baseField="0" baseItem="0" numFmtId="165"/>
    <dataField name="Cuenta de 2023" fld="25" subtotal="count" baseField="3" baseItem="28"/>
  </dataFields>
  <formats count="1">
    <format dxfId="61">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6BEB-70AA-43A8-BCAA-55F52A59FB31}">
  <dimension ref="A3:E33"/>
  <sheetViews>
    <sheetView zoomScale="70" zoomScaleNormal="70" workbookViewId="0">
      <selection activeCell="B11" sqref="B11:E11"/>
      <pivotSelection pane="bottomRight" showHeader="1" extendable="1" axis="axisRow" dimension="1" start="7" min="1" max="9" activeRow="10" activeCol="1" previousRow="10" previousCol="1" click="1" r:id="rId1">
        <pivotArea dataOnly="0" outline="0" fieldPosition="0">
          <references count="1">
            <reference field="3" count="1">
              <x v="18"/>
            </reference>
          </references>
        </pivotArea>
      </pivotSelection>
    </sheetView>
  </sheetViews>
  <sheetFormatPr baseColWidth="10" defaultRowHeight="15" x14ac:dyDescent="0.25"/>
  <cols>
    <col min="1" max="1" width="64" bestFit="1" customWidth="1"/>
    <col min="2" max="2" width="68.140625" bestFit="1" customWidth="1"/>
    <col min="3" max="3" width="47.42578125" bestFit="1" customWidth="1"/>
    <col min="4" max="4" width="25.42578125" bestFit="1" customWidth="1"/>
    <col min="5" max="5" width="19.7109375" bestFit="1" customWidth="1"/>
  </cols>
  <sheetData>
    <row r="3" spans="1:5" x14ac:dyDescent="0.25">
      <c r="A3" s="182" t="s">
        <v>53</v>
      </c>
      <c r="B3" s="182" t="s">
        <v>54</v>
      </c>
      <c r="C3" t="s">
        <v>499</v>
      </c>
      <c r="D3" t="s">
        <v>500</v>
      </c>
      <c r="E3" t="s">
        <v>648</v>
      </c>
    </row>
    <row r="4" spans="1:5" x14ac:dyDescent="0.25">
      <c r="A4" t="s">
        <v>48</v>
      </c>
      <c r="B4" t="s">
        <v>48</v>
      </c>
      <c r="C4">
        <v>5</v>
      </c>
      <c r="D4" s="130">
        <v>117261666.66666666</v>
      </c>
      <c r="E4">
        <v>5</v>
      </c>
    </row>
    <row r="5" spans="1:5" x14ac:dyDescent="0.25">
      <c r="A5" t="s">
        <v>65</v>
      </c>
      <c r="B5" t="s">
        <v>12</v>
      </c>
      <c r="C5">
        <v>1</v>
      </c>
      <c r="D5" s="130">
        <v>46786666.666666664</v>
      </c>
      <c r="E5">
        <v>1</v>
      </c>
    </row>
    <row r="6" spans="1:5" x14ac:dyDescent="0.25">
      <c r="A6" t="s">
        <v>65</v>
      </c>
      <c r="B6" t="s">
        <v>68</v>
      </c>
      <c r="C6">
        <v>2</v>
      </c>
      <c r="D6" s="130">
        <v>85293333.333333328</v>
      </c>
      <c r="E6">
        <v>2</v>
      </c>
    </row>
    <row r="7" spans="1:5" x14ac:dyDescent="0.25">
      <c r="A7" t="s">
        <v>65</v>
      </c>
      <c r="B7" t="s">
        <v>5</v>
      </c>
      <c r="C7">
        <v>3</v>
      </c>
      <c r="D7" s="130">
        <v>153920000</v>
      </c>
      <c r="E7">
        <v>3</v>
      </c>
    </row>
    <row r="8" spans="1:5" x14ac:dyDescent="0.25">
      <c r="A8" t="s">
        <v>65</v>
      </c>
      <c r="B8" t="s">
        <v>9</v>
      </c>
      <c r="C8">
        <v>13</v>
      </c>
      <c r="D8" s="130">
        <v>685558869.19306242</v>
      </c>
      <c r="E8">
        <v>5</v>
      </c>
    </row>
    <row r="9" spans="1:5" x14ac:dyDescent="0.25">
      <c r="A9" t="s">
        <v>65</v>
      </c>
      <c r="B9" t="s">
        <v>6</v>
      </c>
      <c r="C9">
        <v>3</v>
      </c>
      <c r="D9" s="130">
        <v>217889999.5</v>
      </c>
      <c r="E9">
        <v>3</v>
      </c>
    </row>
    <row r="10" spans="1:5" x14ac:dyDescent="0.25">
      <c r="A10" t="s">
        <v>65</v>
      </c>
      <c r="B10" t="s">
        <v>136</v>
      </c>
      <c r="C10">
        <v>1</v>
      </c>
      <c r="D10" s="130">
        <v>57950000</v>
      </c>
      <c r="E10">
        <v>1</v>
      </c>
    </row>
    <row r="11" spans="1:5" x14ac:dyDescent="0.25">
      <c r="A11" t="s">
        <v>65</v>
      </c>
      <c r="B11" t="s">
        <v>65</v>
      </c>
      <c r="C11">
        <v>5</v>
      </c>
      <c r="D11" s="130">
        <v>290005336.69375837</v>
      </c>
      <c r="E11">
        <v>2</v>
      </c>
    </row>
    <row r="12" spans="1:5" x14ac:dyDescent="0.25">
      <c r="A12" t="s">
        <v>65</v>
      </c>
      <c r="B12" t="s">
        <v>3</v>
      </c>
      <c r="C12">
        <v>1</v>
      </c>
      <c r="D12" s="130">
        <v>22610000</v>
      </c>
      <c r="E12">
        <v>1</v>
      </c>
    </row>
    <row r="13" spans="1:5" x14ac:dyDescent="0.25">
      <c r="A13" t="s">
        <v>13</v>
      </c>
      <c r="B13" t="s">
        <v>20</v>
      </c>
      <c r="C13">
        <v>1</v>
      </c>
      <c r="D13" s="130">
        <v>67680000</v>
      </c>
      <c r="E13">
        <v>1</v>
      </c>
    </row>
    <row r="14" spans="1:5" x14ac:dyDescent="0.25">
      <c r="A14" t="s">
        <v>13</v>
      </c>
      <c r="B14" t="s">
        <v>74</v>
      </c>
      <c r="C14">
        <v>6</v>
      </c>
      <c r="D14" s="130">
        <v>279973958.2833333</v>
      </c>
      <c r="E14">
        <v>6</v>
      </c>
    </row>
    <row r="15" spans="1:5" x14ac:dyDescent="0.25">
      <c r="A15" t="s">
        <v>13</v>
      </c>
      <c r="B15" t="s">
        <v>21</v>
      </c>
      <c r="C15">
        <v>1</v>
      </c>
      <c r="D15" s="130">
        <v>88817057.291999996</v>
      </c>
      <c r="E15">
        <v>1</v>
      </c>
    </row>
    <row r="16" spans="1:5" x14ac:dyDescent="0.25">
      <c r="A16" t="s">
        <v>13</v>
      </c>
      <c r="B16" t="s">
        <v>22</v>
      </c>
      <c r="C16">
        <v>5</v>
      </c>
      <c r="D16" s="130">
        <v>191863333.33333334</v>
      </c>
      <c r="E16">
        <v>5</v>
      </c>
    </row>
    <row r="17" spans="1:5" x14ac:dyDescent="0.25">
      <c r="A17" t="s">
        <v>13</v>
      </c>
      <c r="B17" t="s">
        <v>89</v>
      </c>
      <c r="C17">
        <v>2</v>
      </c>
      <c r="D17" s="130">
        <v>409057220</v>
      </c>
      <c r="E17">
        <v>2</v>
      </c>
    </row>
    <row r="18" spans="1:5" x14ac:dyDescent="0.25">
      <c r="A18" t="s">
        <v>13</v>
      </c>
      <c r="B18" t="s">
        <v>42</v>
      </c>
      <c r="C18">
        <v>5</v>
      </c>
      <c r="D18" s="130">
        <v>119600000</v>
      </c>
      <c r="E18">
        <v>5</v>
      </c>
    </row>
    <row r="19" spans="1:5" x14ac:dyDescent="0.25">
      <c r="A19" t="s">
        <v>13</v>
      </c>
      <c r="B19" t="s">
        <v>18</v>
      </c>
      <c r="C19">
        <v>2</v>
      </c>
      <c r="D19" s="130">
        <v>104520000</v>
      </c>
      <c r="E19">
        <v>2</v>
      </c>
    </row>
    <row r="20" spans="1:5" x14ac:dyDescent="0.25">
      <c r="A20" t="s">
        <v>25</v>
      </c>
      <c r="B20" t="s">
        <v>80</v>
      </c>
      <c r="C20">
        <v>3</v>
      </c>
      <c r="D20" s="130">
        <v>171326666.66666669</v>
      </c>
      <c r="E20">
        <v>3</v>
      </c>
    </row>
    <row r="21" spans="1:5" x14ac:dyDescent="0.25">
      <c r="A21" t="s">
        <v>25</v>
      </c>
      <c r="B21" t="s">
        <v>81</v>
      </c>
      <c r="C21">
        <v>1</v>
      </c>
      <c r="D21" s="130">
        <v>43853333.333333336</v>
      </c>
      <c r="E21">
        <v>1</v>
      </c>
    </row>
    <row r="22" spans="1:5" x14ac:dyDescent="0.25">
      <c r="A22" t="s">
        <v>25</v>
      </c>
      <c r="B22" t="s">
        <v>38</v>
      </c>
      <c r="C22">
        <v>24</v>
      </c>
      <c r="D22" s="130">
        <v>470063333.33333325</v>
      </c>
      <c r="E22">
        <v>24</v>
      </c>
    </row>
    <row r="23" spans="1:5" x14ac:dyDescent="0.25">
      <c r="A23" t="s">
        <v>25</v>
      </c>
      <c r="B23" t="s">
        <v>31</v>
      </c>
      <c r="C23">
        <v>10</v>
      </c>
      <c r="D23" s="130">
        <v>429333333.33333337</v>
      </c>
      <c r="E23">
        <v>10</v>
      </c>
    </row>
    <row r="24" spans="1:5" x14ac:dyDescent="0.25">
      <c r="A24" t="s">
        <v>25</v>
      </c>
      <c r="B24" t="s">
        <v>138</v>
      </c>
      <c r="C24">
        <v>1</v>
      </c>
      <c r="D24" s="130">
        <v>46053333.333333336</v>
      </c>
      <c r="E24">
        <v>1</v>
      </c>
    </row>
    <row r="25" spans="1:5" x14ac:dyDescent="0.25">
      <c r="A25" t="s">
        <v>25</v>
      </c>
      <c r="B25" t="s">
        <v>29</v>
      </c>
      <c r="C25">
        <v>1</v>
      </c>
      <c r="D25" s="130">
        <v>23310000</v>
      </c>
      <c r="E25">
        <v>1</v>
      </c>
    </row>
    <row r="26" spans="1:5" x14ac:dyDescent="0.25">
      <c r="A26" t="s">
        <v>25</v>
      </c>
      <c r="B26" t="s">
        <v>137</v>
      </c>
      <c r="C26">
        <v>1</v>
      </c>
      <c r="D26" s="130">
        <v>68820000</v>
      </c>
      <c r="E26">
        <v>1</v>
      </c>
    </row>
    <row r="27" spans="1:5" x14ac:dyDescent="0.25">
      <c r="A27" t="s">
        <v>78</v>
      </c>
      <c r="B27" t="s">
        <v>23</v>
      </c>
      <c r="C27">
        <v>2</v>
      </c>
      <c r="D27" s="130">
        <v>62909383.333333336</v>
      </c>
      <c r="E27">
        <v>2</v>
      </c>
    </row>
    <row r="28" spans="1:5" x14ac:dyDescent="0.25">
      <c r="A28" t="s">
        <v>78</v>
      </c>
      <c r="B28" t="s">
        <v>375</v>
      </c>
      <c r="C28">
        <v>1</v>
      </c>
      <c r="D28" s="130">
        <v>1911437500</v>
      </c>
      <c r="E28">
        <v>1</v>
      </c>
    </row>
    <row r="29" spans="1:5" x14ac:dyDescent="0.25">
      <c r="A29" t="s">
        <v>78</v>
      </c>
      <c r="B29" t="s">
        <v>79</v>
      </c>
      <c r="C29">
        <v>6</v>
      </c>
      <c r="D29" s="130">
        <v>230266666.66666669</v>
      </c>
      <c r="E29">
        <v>6</v>
      </c>
    </row>
    <row r="30" spans="1:5" x14ac:dyDescent="0.25">
      <c r="A30" t="s">
        <v>78</v>
      </c>
      <c r="B30" t="s">
        <v>91</v>
      </c>
      <c r="C30">
        <v>4</v>
      </c>
      <c r="D30" s="130">
        <v>196480000</v>
      </c>
      <c r="E30">
        <v>4</v>
      </c>
    </row>
    <row r="31" spans="1:5" x14ac:dyDescent="0.25">
      <c r="A31" t="s">
        <v>78</v>
      </c>
      <c r="B31" t="s">
        <v>371</v>
      </c>
      <c r="C31">
        <v>1</v>
      </c>
      <c r="D31" s="130">
        <v>38870000</v>
      </c>
      <c r="E31">
        <v>1</v>
      </c>
    </row>
    <row r="32" spans="1:5" x14ac:dyDescent="0.25">
      <c r="A32" t="s">
        <v>78</v>
      </c>
      <c r="B32" t="s">
        <v>372</v>
      </c>
      <c r="C32">
        <v>2</v>
      </c>
      <c r="D32" s="130">
        <v>24591421.449999999</v>
      </c>
      <c r="E32">
        <v>2</v>
      </c>
    </row>
    <row r="33" spans="1:4" x14ac:dyDescent="0.25">
      <c r="A33" t="s">
        <v>671</v>
      </c>
      <c r="B33" t="s">
        <v>671</v>
      </c>
      <c r="D33" s="1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6664-D41E-494E-9FFC-A6C31CFFCE12}">
  <dimension ref="A1:N36"/>
  <sheetViews>
    <sheetView workbookViewId="0">
      <selection sqref="A1:C24"/>
    </sheetView>
  </sheetViews>
  <sheetFormatPr baseColWidth="10" defaultColWidth="11.42578125" defaultRowHeight="15" x14ac:dyDescent="0.25"/>
  <cols>
    <col min="1" max="1" width="27.85546875" bestFit="1" customWidth="1"/>
    <col min="2" max="2" width="9.7109375" customWidth="1"/>
    <col min="3" max="3" width="13.5703125" bestFit="1" customWidth="1"/>
    <col min="4" max="4" width="0" hidden="1" customWidth="1"/>
    <col min="5" max="5" width="13" hidden="1" customWidth="1"/>
    <col min="6" max="6" width="16" hidden="1" customWidth="1"/>
    <col min="7" max="7" width="0" hidden="1" customWidth="1"/>
    <col min="8" max="8" width="13" bestFit="1" customWidth="1"/>
    <col min="9" max="9" width="13" hidden="1" customWidth="1"/>
    <col min="10" max="10" width="13.140625" hidden="1" customWidth="1"/>
    <col min="12" max="12" width="29.28515625" customWidth="1"/>
    <col min="13" max="13" width="6.5703125" customWidth="1"/>
    <col min="14" max="14" width="14.140625" customWidth="1"/>
  </cols>
  <sheetData>
    <row r="1" spans="1:14" ht="18.75" x14ac:dyDescent="0.25">
      <c r="A1" s="485">
        <v>2024</v>
      </c>
      <c r="B1" s="485"/>
      <c r="C1" s="485"/>
      <c r="L1" s="485">
        <v>2023</v>
      </c>
      <c r="M1" s="485"/>
      <c r="N1" s="485"/>
    </row>
    <row r="2" spans="1:14" x14ac:dyDescent="0.25">
      <c r="A2" s="9" t="s">
        <v>94</v>
      </c>
      <c r="B2" s="9" t="s">
        <v>95</v>
      </c>
      <c r="C2" s="9" t="s">
        <v>96</v>
      </c>
      <c r="D2" s="2" t="s">
        <v>95</v>
      </c>
      <c r="E2" s="1"/>
      <c r="F2" s="1"/>
      <c r="G2" s="1"/>
      <c r="I2" t="s">
        <v>474</v>
      </c>
      <c r="J2" t="s">
        <v>475</v>
      </c>
      <c r="L2" s="9" t="s">
        <v>94</v>
      </c>
      <c r="M2" s="9" t="s">
        <v>95</v>
      </c>
      <c r="N2" s="9" t="s">
        <v>96</v>
      </c>
    </row>
    <row r="3" spans="1:14" x14ac:dyDescent="0.25">
      <c r="A3" s="10" t="s">
        <v>71</v>
      </c>
      <c r="B3" s="11">
        <v>1</v>
      </c>
      <c r="C3" s="12">
        <v>1650000</v>
      </c>
      <c r="D3" s="1" t="str">
        <f>B3&amp;A3</f>
        <v>1ASISTENCIAL</v>
      </c>
      <c r="E3" s="1" t="s">
        <v>71</v>
      </c>
      <c r="F3" s="5">
        <f>+C3</f>
        <v>1650000</v>
      </c>
      <c r="G3" s="1">
        <v>1</v>
      </c>
      <c r="I3" s="130">
        <v>1600000</v>
      </c>
      <c r="J3" s="155">
        <f>(C3/I3)-1</f>
        <v>3.125E-2</v>
      </c>
      <c r="L3" s="10" t="s">
        <v>71</v>
      </c>
      <c r="M3" s="11">
        <v>1</v>
      </c>
      <c r="N3" s="12">
        <v>1600000</v>
      </c>
    </row>
    <row r="4" spans="1:14" x14ac:dyDescent="0.25">
      <c r="A4" s="6" t="s">
        <v>71</v>
      </c>
      <c r="B4" s="8">
        <v>2</v>
      </c>
      <c r="C4" s="7">
        <v>1750000</v>
      </c>
      <c r="D4" s="1" t="str">
        <f t="shared" ref="D4:D22" si="0">B4&amp;A4</f>
        <v>2ASISTENCIAL</v>
      </c>
      <c r="E4" s="1" t="s">
        <v>71</v>
      </c>
      <c r="F4" s="5">
        <f t="shared" ref="F4:F22" si="1">+C4</f>
        <v>1750000</v>
      </c>
      <c r="G4" s="1">
        <v>2</v>
      </c>
      <c r="I4" s="130">
        <v>1650000</v>
      </c>
      <c r="J4" s="155">
        <f t="shared" ref="J4:J30" si="2">(C4/I4)-1</f>
        <v>6.0606060606060552E-2</v>
      </c>
      <c r="L4" s="6" t="s">
        <v>71</v>
      </c>
      <c r="M4" s="8">
        <v>2</v>
      </c>
      <c r="N4" s="7">
        <v>1750000</v>
      </c>
    </row>
    <row r="5" spans="1:14" x14ac:dyDescent="0.25">
      <c r="A5" s="10" t="s">
        <v>71</v>
      </c>
      <c r="B5" s="11">
        <v>3</v>
      </c>
      <c r="C5" s="12">
        <v>1850000</v>
      </c>
      <c r="D5" s="1" t="str">
        <f t="shared" si="0"/>
        <v>3ASISTENCIAL</v>
      </c>
      <c r="E5" s="1" t="s">
        <v>71</v>
      </c>
      <c r="F5" s="5">
        <f t="shared" si="1"/>
        <v>1850000</v>
      </c>
      <c r="G5" s="1">
        <v>3</v>
      </c>
      <c r="I5" s="130">
        <v>1750000</v>
      </c>
      <c r="J5" s="155">
        <f t="shared" si="2"/>
        <v>5.7142857142857162E-2</v>
      </c>
      <c r="L5" s="10" t="s">
        <v>71</v>
      </c>
      <c r="M5" s="11">
        <v>3</v>
      </c>
      <c r="N5" s="12">
        <v>2000000</v>
      </c>
    </row>
    <row r="6" spans="1:14" x14ac:dyDescent="0.25">
      <c r="A6" s="6" t="s">
        <v>71</v>
      </c>
      <c r="B6" s="8">
        <v>4</v>
      </c>
      <c r="C6" s="7">
        <v>1950000</v>
      </c>
      <c r="D6" s="1" t="str">
        <f t="shared" ref="D6:D7" si="3">B6&amp;A6</f>
        <v>4ASISTENCIAL</v>
      </c>
      <c r="E6" s="1" t="s">
        <v>71</v>
      </c>
      <c r="F6" s="5">
        <f t="shared" ref="F6:F7" si="4">+C6</f>
        <v>1950000</v>
      </c>
      <c r="G6" s="1">
        <v>4</v>
      </c>
      <c r="I6" s="130">
        <v>1850000</v>
      </c>
      <c r="J6" s="155">
        <f t="shared" ref="J6:J7" si="5">(C6/I6)-1</f>
        <v>5.4054054054053946E-2</v>
      </c>
      <c r="L6" s="3" t="s">
        <v>70</v>
      </c>
      <c r="M6" s="4">
        <v>1</v>
      </c>
      <c r="N6" s="7">
        <v>2200000</v>
      </c>
    </row>
    <row r="7" spans="1:14" x14ac:dyDescent="0.25">
      <c r="A7" s="10" t="s">
        <v>71</v>
      </c>
      <c r="B7" s="11">
        <v>5</v>
      </c>
      <c r="C7" s="12">
        <v>2100000</v>
      </c>
      <c r="D7" s="1" t="str">
        <f t="shared" si="3"/>
        <v>5ASISTENCIAL</v>
      </c>
      <c r="E7" s="1" t="s">
        <v>71</v>
      </c>
      <c r="F7" s="5">
        <f t="shared" si="4"/>
        <v>2100000</v>
      </c>
      <c r="G7" s="1">
        <v>5</v>
      </c>
      <c r="I7" s="130">
        <v>2000000</v>
      </c>
      <c r="J7" s="155">
        <f t="shared" si="5"/>
        <v>5.0000000000000044E-2</v>
      </c>
      <c r="L7" s="13" t="s">
        <v>70</v>
      </c>
      <c r="M7" s="14">
        <v>2</v>
      </c>
      <c r="N7" s="15">
        <v>2500000</v>
      </c>
    </row>
    <row r="8" spans="1:14" x14ac:dyDescent="0.25">
      <c r="A8" s="3" t="s">
        <v>70</v>
      </c>
      <c r="B8" s="4">
        <v>1</v>
      </c>
      <c r="C8" s="7">
        <v>2300000</v>
      </c>
      <c r="D8" s="1" t="str">
        <f t="shared" si="0"/>
        <v>1TÉCNICO</v>
      </c>
      <c r="E8" s="1" t="s">
        <v>70</v>
      </c>
      <c r="F8" s="5">
        <f t="shared" si="1"/>
        <v>2300000</v>
      </c>
      <c r="G8" s="1">
        <v>1</v>
      </c>
      <c r="I8" s="130">
        <v>2200000</v>
      </c>
      <c r="J8" s="155">
        <f t="shared" si="2"/>
        <v>4.5454545454545414E-2</v>
      </c>
      <c r="L8" s="3" t="s">
        <v>70</v>
      </c>
      <c r="M8" s="4">
        <v>3</v>
      </c>
      <c r="N8" s="7">
        <v>2750000</v>
      </c>
    </row>
    <row r="9" spans="1:14" x14ac:dyDescent="0.25">
      <c r="A9" s="13" t="s">
        <v>70</v>
      </c>
      <c r="B9" s="14">
        <v>2</v>
      </c>
      <c r="C9" s="15">
        <v>2450000</v>
      </c>
      <c r="D9" s="1" t="str">
        <f t="shared" si="0"/>
        <v>2TÉCNICO</v>
      </c>
      <c r="E9" s="1" t="s">
        <v>70</v>
      </c>
      <c r="F9" s="5">
        <f t="shared" si="1"/>
        <v>2450000</v>
      </c>
      <c r="G9" s="1">
        <v>2</v>
      </c>
      <c r="I9" s="130">
        <v>2300000</v>
      </c>
      <c r="J9" s="155">
        <f t="shared" si="2"/>
        <v>6.5217391304347894E-2</v>
      </c>
      <c r="L9" s="10" t="s">
        <v>69</v>
      </c>
      <c r="M9" s="11">
        <v>1</v>
      </c>
      <c r="N9" s="12">
        <v>3000000</v>
      </c>
    </row>
    <row r="10" spans="1:14" x14ac:dyDescent="0.25">
      <c r="A10" s="3" t="s">
        <v>70</v>
      </c>
      <c r="B10" s="4">
        <v>3</v>
      </c>
      <c r="C10" s="7">
        <v>2600000</v>
      </c>
      <c r="D10" s="1" t="str">
        <f t="shared" si="0"/>
        <v>3TÉCNICO</v>
      </c>
      <c r="E10" s="1" t="s">
        <v>70</v>
      </c>
      <c r="F10" s="5">
        <f t="shared" si="1"/>
        <v>2600000</v>
      </c>
      <c r="G10" s="1">
        <v>3</v>
      </c>
      <c r="I10" s="130">
        <v>2450000</v>
      </c>
      <c r="J10" s="155">
        <f t="shared" si="2"/>
        <v>6.1224489795918435E-2</v>
      </c>
      <c r="L10" s="6" t="s">
        <v>69</v>
      </c>
      <c r="M10" s="8">
        <v>2</v>
      </c>
      <c r="N10" s="7">
        <v>3400000</v>
      </c>
    </row>
    <row r="11" spans="1:14" x14ac:dyDescent="0.25">
      <c r="A11" s="13" t="s">
        <v>70</v>
      </c>
      <c r="B11" s="14">
        <v>4</v>
      </c>
      <c r="C11" s="15">
        <v>2750000</v>
      </c>
      <c r="D11" s="1" t="str">
        <f t="shared" ref="D11:D12" si="6">B11&amp;A11</f>
        <v>4TÉCNICO</v>
      </c>
      <c r="E11" s="1" t="s">
        <v>70</v>
      </c>
      <c r="F11" s="5">
        <f t="shared" ref="F11:F12" si="7">+C11</f>
        <v>2750000</v>
      </c>
      <c r="G11" s="1">
        <v>4</v>
      </c>
      <c r="H11" s="130"/>
      <c r="I11" s="130">
        <v>2600000</v>
      </c>
      <c r="J11" s="155">
        <f t="shared" ref="J11:J12" si="8">(C11/I11)-1</f>
        <v>5.7692307692307709E-2</v>
      </c>
      <c r="L11" s="10" t="s">
        <v>69</v>
      </c>
      <c r="M11" s="11">
        <v>3</v>
      </c>
      <c r="N11" s="12">
        <v>3750000</v>
      </c>
    </row>
    <row r="12" spans="1:14" x14ac:dyDescent="0.25">
      <c r="A12" s="3" t="s">
        <v>70</v>
      </c>
      <c r="B12" s="4">
        <v>5</v>
      </c>
      <c r="C12" s="7">
        <v>2900000</v>
      </c>
      <c r="D12" s="1" t="str">
        <f t="shared" si="6"/>
        <v>5TÉCNICO</v>
      </c>
      <c r="E12" s="1" t="s">
        <v>70</v>
      </c>
      <c r="F12" s="5">
        <f t="shared" si="7"/>
        <v>2900000</v>
      </c>
      <c r="G12" s="1">
        <v>5</v>
      </c>
      <c r="I12" s="130">
        <v>2750000</v>
      </c>
      <c r="J12" s="155">
        <f t="shared" si="8"/>
        <v>5.4545454545454453E-2</v>
      </c>
      <c r="L12" s="6" t="s">
        <v>69</v>
      </c>
      <c r="M12" s="8">
        <v>4</v>
      </c>
      <c r="N12" s="7">
        <v>4200000</v>
      </c>
    </row>
    <row r="13" spans="1:14" x14ac:dyDescent="0.25">
      <c r="A13" s="10" t="s">
        <v>69</v>
      </c>
      <c r="B13" s="11">
        <v>1</v>
      </c>
      <c r="C13" s="12">
        <v>3100000</v>
      </c>
      <c r="D13" s="1" t="str">
        <f t="shared" si="0"/>
        <v>1PROFESIONAL UNIVERSITARIO</v>
      </c>
      <c r="E13" s="1" t="s">
        <v>69</v>
      </c>
      <c r="F13" s="5">
        <f t="shared" si="1"/>
        <v>3100000</v>
      </c>
      <c r="G13" s="1">
        <v>1</v>
      </c>
      <c r="I13" s="130">
        <v>3000000</v>
      </c>
      <c r="J13" s="155">
        <f t="shared" si="2"/>
        <v>3.3333333333333437E-2</v>
      </c>
      <c r="L13" s="3" t="s">
        <v>67</v>
      </c>
      <c r="M13" s="4">
        <v>1</v>
      </c>
      <c r="N13" s="7">
        <v>4550000</v>
      </c>
    </row>
    <row r="14" spans="1:14" x14ac:dyDescent="0.25">
      <c r="A14" s="6" t="s">
        <v>69</v>
      </c>
      <c r="B14" s="8">
        <v>2</v>
      </c>
      <c r="C14" s="7">
        <v>3350000</v>
      </c>
      <c r="D14" s="1" t="str">
        <f t="shared" si="0"/>
        <v>2PROFESIONAL UNIVERSITARIO</v>
      </c>
      <c r="E14" s="1" t="s">
        <v>69</v>
      </c>
      <c r="F14" s="5">
        <f t="shared" si="1"/>
        <v>3350000</v>
      </c>
      <c r="G14" s="1">
        <v>2</v>
      </c>
      <c r="I14" s="130">
        <v>3250000</v>
      </c>
      <c r="J14" s="155">
        <f t="shared" si="2"/>
        <v>3.076923076923066E-2</v>
      </c>
      <c r="L14" s="13" t="s">
        <v>67</v>
      </c>
      <c r="M14" s="14">
        <v>2</v>
      </c>
      <c r="N14" s="15">
        <v>5000000</v>
      </c>
    </row>
    <row r="15" spans="1:14" x14ac:dyDescent="0.25">
      <c r="A15" s="10" t="s">
        <v>69</v>
      </c>
      <c r="B15" s="11">
        <v>3</v>
      </c>
      <c r="C15" s="12">
        <v>3600000</v>
      </c>
      <c r="D15" s="1" t="str">
        <f t="shared" si="0"/>
        <v>3PROFESIONAL UNIVERSITARIO</v>
      </c>
      <c r="E15" s="1" t="s">
        <v>69</v>
      </c>
      <c r="F15" s="5">
        <f t="shared" si="1"/>
        <v>3600000</v>
      </c>
      <c r="G15" s="1">
        <v>3</v>
      </c>
      <c r="I15" s="130">
        <v>3500000</v>
      </c>
      <c r="J15" s="155">
        <f t="shared" si="2"/>
        <v>2.857142857142847E-2</v>
      </c>
      <c r="L15" s="3" t="s">
        <v>67</v>
      </c>
      <c r="M15" s="4">
        <v>3</v>
      </c>
      <c r="N15" s="7">
        <v>5500000</v>
      </c>
    </row>
    <row r="16" spans="1:14" x14ac:dyDescent="0.25">
      <c r="A16" s="6" t="s">
        <v>69</v>
      </c>
      <c r="B16" s="8">
        <v>4</v>
      </c>
      <c r="C16" s="7">
        <v>3900000</v>
      </c>
      <c r="D16" s="1" t="str">
        <f t="shared" si="0"/>
        <v>4PROFESIONAL UNIVERSITARIO</v>
      </c>
      <c r="E16" s="1" t="s">
        <v>69</v>
      </c>
      <c r="F16" s="5">
        <f t="shared" si="1"/>
        <v>3900000</v>
      </c>
      <c r="G16" s="1">
        <v>4</v>
      </c>
      <c r="I16" s="130">
        <v>3750000</v>
      </c>
      <c r="J16" s="155">
        <f t="shared" si="2"/>
        <v>4.0000000000000036E-2</v>
      </c>
      <c r="L16" s="13" t="s">
        <v>67</v>
      </c>
      <c r="M16" s="14">
        <v>4</v>
      </c>
      <c r="N16" s="15">
        <v>6000000</v>
      </c>
    </row>
    <row r="17" spans="1:10" x14ac:dyDescent="0.25">
      <c r="A17" s="10" t="s">
        <v>69</v>
      </c>
      <c r="B17" s="11">
        <v>5</v>
      </c>
      <c r="C17" s="12">
        <v>4200000</v>
      </c>
      <c r="D17" s="1" t="str">
        <f t="shared" ref="D17:D18" si="9">B17&amp;A17</f>
        <v>5PROFESIONAL UNIVERSITARIO</v>
      </c>
      <c r="E17" s="1" t="s">
        <v>69</v>
      </c>
      <c r="F17" s="5">
        <f t="shared" ref="F17:F18" si="10">+C17</f>
        <v>4200000</v>
      </c>
      <c r="G17" s="1">
        <v>5</v>
      </c>
      <c r="I17" s="130">
        <v>4000000</v>
      </c>
      <c r="J17" s="155">
        <f t="shared" ref="J17:J18" si="11">(C17/I17)-1</f>
        <v>5.0000000000000044E-2</v>
      </c>
    </row>
    <row r="18" spans="1:10" x14ac:dyDescent="0.25">
      <c r="A18" s="6" t="s">
        <v>69</v>
      </c>
      <c r="B18" s="8">
        <v>6</v>
      </c>
      <c r="C18" s="7">
        <v>4400000</v>
      </c>
      <c r="D18" s="1" t="str">
        <f t="shared" si="9"/>
        <v>6PROFESIONAL UNIVERSITARIO</v>
      </c>
      <c r="E18" s="1" t="s">
        <v>69</v>
      </c>
      <c r="F18" s="5">
        <f t="shared" si="10"/>
        <v>4400000</v>
      </c>
      <c r="G18" s="1">
        <v>6</v>
      </c>
      <c r="I18" s="130">
        <v>4200000</v>
      </c>
      <c r="J18" s="155">
        <f t="shared" si="11"/>
        <v>4.7619047619047672E-2</v>
      </c>
    </row>
    <row r="19" spans="1:10" x14ac:dyDescent="0.25">
      <c r="A19" s="3" t="s">
        <v>67</v>
      </c>
      <c r="B19" s="4">
        <v>1</v>
      </c>
      <c r="C19" s="7">
        <v>4700000</v>
      </c>
      <c r="D19" s="1" t="str">
        <f t="shared" si="0"/>
        <v>1PROFESIONAL ESPECIALIZADO</v>
      </c>
      <c r="E19" s="1" t="s">
        <v>67</v>
      </c>
      <c r="F19" s="5">
        <f t="shared" si="1"/>
        <v>4700000</v>
      </c>
      <c r="G19" s="1">
        <v>1</v>
      </c>
      <c r="I19" s="130">
        <v>4500000</v>
      </c>
      <c r="J19" s="155">
        <f t="shared" si="2"/>
        <v>4.4444444444444509E-2</v>
      </c>
    </row>
    <row r="20" spans="1:10" x14ac:dyDescent="0.25">
      <c r="A20" s="13" t="s">
        <v>67</v>
      </c>
      <c r="B20" s="14">
        <v>2</v>
      </c>
      <c r="C20" s="15">
        <v>5000000</v>
      </c>
      <c r="D20" s="1" t="str">
        <f t="shared" si="0"/>
        <v>2PROFESIONAL ESPECIALIZADO</v>
      </c>
      <c r="E20" s="1" t="s">
        <v>67</v>
      </c>
      <c r="F20" s="5">
        <f t="shared" si="1"/>
        <v>5000000</v>
      </c>
      <c r="G20" s="1">
        <v>2</v>
      </c>
      <c r="I20" s="130">
        <v>4800000</v>
      </c>
      <c r="J20" s="155">
        <f t="shared" si="2"/>
        <v>4.1666666666666741E-2</v>
      </c>
    </row>
    <row r="21" spans="1:10" x14ac:dyDescent="0.25">
      <c r="A21" s="3" t="s">
        <v>67</v>
      </c>
      <c r="B21" s="4">
        <v>3</v>
      </c>
      <c r="C21" s="7">
        <v>5350000</v>
      </c>
      <c r="D21" s="1" t="str">
        <f t="shared" si="0"/>
        <v>3PROFESIONAL ESPECIALIZADO</v>
      </c>
      <c r="E21" s="1" t="s">
        <v>67</v>
      </c>
      <c r="F21" s="5">
        <f t="shared" si="1"/>
        <v>5350000</v>
      </c>
      <c r="G21" s="1">
        <v>3</v>
      </c>
      <c r="I21" s="130">
        <v>5200000</v>
      </c>
      <c r="J21" s="155">
        <f t="shared" si="2"/>
        <v>2.8846153846153744E-2</v>
      </c>
    </row>
    <row r="22" spans="1:10" x14ac:dyDescent="0.25">
      <c r="A22" s="13" t="s">
        <v>67</v>
      </c>
      <c r="B22" s="14">
        <v>4</v>
      </c>
      <c r="C22" s="15">
        <v>5700000</v>
      </c>
      <c r="D22" s="1" t="str">
        <f t="shared" si="0"/>
        <v>4PROFESIONAL ESPECIALIZADO</v>
      </c>
      <c r="E22" s="1" t="s">
        <v>67</v>
      </c>
      <c r="F22" s="5">
        <f t="shared" si="1"/>
        <v>5700000</v>
      </c>
      <c r="G22" s="1">
        <v>4</v>
      </c>
      <c r="I22" s="130">
        <v>5500000</v>
      </c>
      <c r="J22" s="155">
        <f t="shared" si="2"/>
        <v>3.6363636363636376E-2</v>
      </c>
    </row>
    <row r="23" spans="1:10" x14ac:dyDescent="0.25">
      <c r="A23" s="3" t="s">
        <v>67</v>
      </c>
      <c r="B23" s="4">
        <v>5</v>
      </c>
      <c r="C23" s="15">
        <v>6000000</v>
      </c>
      <c r="D23" s="1" t="str">
        <f t="shared" ref="D23:D24" si="12">B23&amp;A23</f>
        <v>5PROFESIONAL ESPECIALIZADO</v>
      </c>
      <c r="E23" s="1" t="s">
        <v>67</v>
      </c>
      <c r="F23" s="5">
        <f t="shared" ref="F23:F24" si="13">+C23</f>
        <v>6000000</v>
      </c>
      <c r="G23" s="1">
        <v>5</v>
      </c>
      <c r="I23" s="130">
        <v>5800000</v>
      </c>
      <c r="J23" s="155">
        <f t="shared" si="2"/>
        <v>3.4482758620689724E-2</v>
      </c>
    </row>
    <row r="24" spans="1:10" x14ac:dyDescent="0.25">
      <c r="A24" s="13" t="s">
        <v>67</v>
      </c>
      <c r="B24" s="14">
        <v>6</v>
      </c>
      <c r="C24" s="15">
        <v>6200000</v>
      </c>
      <c r="D24" s="1" t="str">
        <f t="shared" si="12"/>
        <v>6PROFESIONAL ESPECIALIZADO</v>
      </c>
      <c r="E24" s="1" t="s">
        <v>67</v>
      </c>
      <c r="F24" s="5">
        <f t="shared" si="13"/>
        <v>6200000</v>
      </c>
      <c r="G24" s="1">
        <v>4</v>
      </c>
      <c r="I24" s="130">
        <v>6000000</v>
      </c>
      <c r="J24" s="155">
        <f t="shared" ref="J24" si="14">(C24/I24)-1</f>
        <v>3.3333333333333437E-2</v>
      </c>
    </row>
    <row r="25" spans="1:10" x14ac:dyDescent="0.25">
      <c r="A25" s="156" t="s">
        <v>471</v>
      </c>
      <c r="B25" s="157">
        <v>1</v>
      </c>
      <c r="C25" s="158">
        <v>6800000</v>
      </c>
      <c r="D25" s="1" t="str">
        <f t="shared" ref="D25:D30" si="15">B25&amp;A25</f>
        <v>1ASESOR</v>
      </c>
      <c r="E25" s="1" t="s">
        <v>471</v>
      </c>
      <c r="F25" s="5">
        <f t="shared" ref="F25:F30" si="16">+C25</f>
        <v>6800000</v>
      </c>
      <c r="G25" s="1">
        <v>1</v>
      </c>
      <c r="I25" s="130">
        <v>6750000</v>
      </c>
      <c r="J25" s="155">
        <f t="shared" si="2"/>
        <v>7.4074074074073071E-3</v>
      </c>
    </row>
    <row r="26" spans="1:10" x14ac:dyDescent="0.25">
      <c r="A26" s="159" t="s">
        <v>471</v>
      </c>
      <c r="B26" s="160">
        <v>2</v>
      </c>
      <c r="C26" s="161">
        <v>7400000</v>
      </c>
      <c r="D26" s="1" t="str">
        <f t="shared" ref="D26" si="17">B26&amp;A26</f>
        <v>2ASESOR</v>
      </c>
      <c r="E26" s="1" t="s">
        <v>471</v>
      </c>
      <c r="F26" s="5">
        <f t="shared" ref="F26" si="18">+C26</f>
        <v>7400000</v>
      </c>
      <c r="G26" s="1">
        <v>3</v>
      </c>
      <c r="I26" s="130">
        <v>7000000</v>
      </c>
      <c r="J26" s="155">
        <f t="shared" ref="J26" si="19">(C26/I26)-1</f>
        <v>5.7142857142857162E-2</v>
      </c>
    </row>
    <row r="27" spans="1:10" x14ac:dyDescent="0.25">
      <c r="A27" s="156" t="s">
        <v>471</v>
      </c>
      <c r="B27" s="157">
        <v>3</v>
      </c>
      <c r="C27" s="158">
        <v>8000000</v>
      </c>
      <c r="D27" s="1" t="str">
        <f t="shared" si="15"/>
        <v>3ASESOR</v>
      </c>
      <c r="E27" s="1" t="s">
        <v>471</v>
      </c>
      <c r="F27" s="5">
        <f t="shared" si="16"/>
        <v>8000000</v>
      </c>
      <c r="G27" s="1">
        <v>2</v>
      </c>
      <c r="I27" s="130">
        <v>7700000</v>
      </c>
      <c r="J27" s="155">
        <f t="shared" si="2"/>
        <v>3.8961038961038863E-2</v>
      </c>
    </row>
    <row r="28" spans="1:10" x14ac:dyDescent="0.25">
      <c r="A28" s="159" t="s">
        <v>471</v>
      </c>
      <c r="B28" s="160">
        <v>4</v>
      </c>
      <c r="C28" s="161">
        <v>8600000</v>
      </c>
      <c r="D28" s="1" t="str">
        <f t="shared" si="15"/>
        <v>4ASESOR</v>
      </c>
      <c r="E28" s="1" t="s">
        <v>471</v>
      </c>
      <c r="F28" s="5">
        <f t="shared" si="16"/>
        <v>8600000</v>
      </c>
      <c r="G28" s="1">
        <v>3</v>
      </c>
      <c r="I28" s="130">
        <v>8500000</v>
      </c>
      <c r="J28" s="155">
        <f t="shared" si="2"/>
        <v>1.1764705882352899E-2</v>
      </c>
    </row>
    <row r="29" spans="1:10" x14ac:dyDescent="0.25">
      <c r="A29" s="156" t="s">
        <v>471</v>
      </c>
      <c r="B29" s="157">
        <v>5</v>
      </c>
      <c r="C29" s="158">
        <v>9200000</v>
      </c>
      <c r="D29" s="1" t="str">
        <f t="shared" si="15"/>
        <v>5ASESOR</v>
      </c>
      <c r="E29" s="1" t="s">
        <v>471</v>
      </c>
      <c r="F29" s="5">
        <f t="shared" si="16"/>
        <v>9200000</v>
      </c>
      <c r="G29" s="1">
        <v>2</v>
      </c>
      <c r="I29" s="130">
        <v>9000000</v>
      </c>
      <c r="J29" s="155">
        <f t="shared" si="2"/>
        <v>2.2222222222222143E-2</v>
      </c>
    </row>
    <row r="30" spans="1:10" x14ac:dyDescent="0.25">
      <c r="A30" s="159" t="s">
        <v>471</v>
      </c>
      <c r="B30" s="160">
        <v>6</v>
      </c>
      <c r="C30" s="161">
        <v>9800000</v>
      </c>
      <c r="D30" s="1" t="str">
        <f t="shared" si="15"/>
        <v>6ASESOR</v>
      </c>
      <c r="E30" s="1" t="s">
        <v>471</v>
      </c>
      <c r="F30" s="5">
        <f t="shared" si="16"/>
        <v>9800000</v>
      </c>
      <c r="G30" s="1">
        <v>3</v>
      </c>
      <c r="I30" s="130">
        <v>9500000</v>
      </c>
      <c r="J30" s="155">
        <f t="shared" si="2"/>
        <v>3.1578947368421151E-2</v>
      </c>
    </row>
    <row r="31" spans="1:10" x14ac:dyDescent="0.25">
      <c r="A31" s="3" t="s">
        <v>473</v>
      </c>
    </row>
    <row r="36" spans="4:4" x14ac:dyDescent="0.25">
      <c r="D36" t="s">
        <v>98</v>
      </c>
    </row>
  </sheetData>
  <mergeCells count="2">
    <mergeCell ref="L1:N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57B7-D2ED-43F2-BE88-F6C7EC00A4DC}">
  <dimension ref="A1:S42"/>
  <sheetViews>
    <sheetView workbookViewId="0">
      <pane xSplit="2" ySplit="11" topLeftCell="C14" activePane="bottomRight" state="frozen"/>
      <selection pane="topRight" activeCell="C1" sqref="C1"/>
      <selection pane="bottomLeft" activeCell="A12" sqref="A12"/>
      <selection pane="bottomRight" activeCell="C20" sqref="C20"/>
    </sheetView>
  </sheetViews>
  <sheetFormatPr baseColWidth="10" defaultRowHeight="15" x14ac:dyDescent="0.25"/>
  <cols>
    <col min="1" max="2" width="28.28515625" customWidth="1"/>
    <col min="3" max="3" width="10.7109375" customWidth="1"/>
    <col min="4" max="4" width="20.7109375" customWidth="1"/>
    <col min="5" max="5" width="8.7109375" customWidth="1"/>
    <col min="6" max="6" width="18.7109375" customWidth="1"/>
    <col min="7" max="7" width="8.7109375" customWidth="1"/>
    <col min="8" max="8" width="18.7109375" customWidth="1"/>
    <col min="9" max="9" width="3" hidden="1" customWidth="1"/>
    <col min="10" max="10" width="8.7109375" hidden="1" customWidth="1"/>
    <col min="11" max="11" width="18.7109375" hidden="1" customWidth="1"/>
    <col min="12" max="12" width="3" customWidth="1"/>
    <col min="13" max="13" width="8.7109375" customWidth="1"/>
    <col min="14" max="14" width="18.7109375" customWidth="1"/>
    <col min="15" max="15" width="3" customWidth="1"/>
    <col min="16" max="16" width="8.7109375" customWidth="1"/>
    <col min="17" max="17" width="18.7109375" customWidth="1"/>
  </cols>
  <sheetData>
    <row r="1" spans="1:19" x14ac:dyDescent="0.25">
      <c r="J1" s="486" t="s">
        <v>575</v>
      </c>
      <c r="K1" s="486"/>
    </row>
    <row r="2" spans="1:19" x14ac:dyDescent="0.25">
      <c r="A2" s="1"/>
      <c r="B2" s="183" t="s">
        <v>501</v>
      </c>
      <c r="C2" s="184" t="s">
        <v>653</v>
      </c>
      <c r="D2" s="184" t="s">
        <v>654</v>
      </c>
      <c r="E2" s="184" t="s">
        <v>651</v>
      </c>
      <c r="F2" s="184" t="s">
        <v>652</v>
      </c>
      <c r="G2" s="184" t="s">
        <v>502</v>
      </c>
      <c r="H2" s="184" t="s">
        <v>503</v>
      </c>
      <c r="I2" s="2"/>
      <c r="J2" s="185" t="s">
        <v>504</v>
      </c>
      <c r="K2" s="185" t="s">
        <v>505</v>
      </c>
      <c r="L2" s="2"/>
      <c r="M2" s="185" t="s">
        <v>504</v>
      </c>
      <c r="N2" s="185" t="s">
        <v>505</v>
      </c>
      <c r="O2" s="2"/>
      <c r="P2" s="186" t="s">
        <v>506</v>
      </c>
      <c r="Q2" s="186" t="s">
        <v>507</v>
      </c>
      <c r="R2" s="186" t="s">
        <v>477</v>
      </c>
    </row>
    <row r="3" spans="1:19" x14ac:dyDescent="0.25">
      <c r="A3" s="1"/>
      <c r="B3" s="1" t="s">
        <v>48</v>
      </c>
      <c r="C3" s="187">
        <f>SUMIFS(C$12:C$40,$A$12:$A$40,$B3)</f>
        <v>5</v>
      </c>
      <c r="D3" s="5">
        <f t="shared" ref="D3:H7" si="0">SUMIFS(D$12:D$40,$A$12:$A$40,$B3)</f>
        <v>92000000</v>
      </c>
      <c r="E3" s="187">
        <f>SUMIFS(E$12:E$40,$A$12:$A$40,$B3)</f>
        <v>5</v>
      </c>
      <c r="F3" s="5">
        <f t="shared" si="0"/>
        <v>92000000</v>
      </c>
      <c r="G3" s="187">
        <f>SUMIFS(G$12:G$40,$A$12:$A$40,$B3)</f>
        <v>5</v>
      </c>
      <c r="H3" s="5">
        <f t="shared" si="0"/>
        <v>112420000</v>
      </c>
      <c r="I3" s="1"/>
      <c r="J3" s="187">
        <f>SUMIFS(J$12:J$40,$A$12:$A$40,$B3)</f>
        <v>5</v>
      </c>
      <c r="K3" s="5">
        <f t="shared" ref="K3:K7" si="1">SUMIFS(K$12:K$40,$A$12:$A$40,$B3)</f>
        <v>117261666.66666666</v>
      </c>
      <c r="L3" s="1"/>
      <c r="M3" s="187">
        <f>SUMIFS(M$12:M$40,$A$12:$A$40,$B3)</f>
        <v>5</v>
      </c>
      <c r="N3" s="5">
        <f t="shared" ref="N3:N7" si="2">SUMIFS(N$12:N$40,$A$12:$A$40,$B3)</f>
        <v>117261666.66666666</v>
      </c>
      <c r="O3" s="1"/>
      <c r="P3" s="187">
        <f>+M3-G3</f>
        <v>0</v>
      </c>
      <c r="Q3" s="5">
        <f t="shared" ref="Q3:Q7" si="3">+N3-H3</f>
        <v>4841666.6666666567</v>
      </c>
      <c r="R3" s="190">
        <f>+Q3/H3</f>
        <v>4.3067662930676542E-2</v>
      </c>
    </row>
    <row r="4" spans="1:19" x14ac:dyDescent="0.25">
      <c r="A4" s="1"/>
      <c r="B4" s="1" t="s">
        <v>65</v>
      </c>
      <c r="C4" s="187">
        <f t="shared" ref="C4:G7" si="4">SUMIFS(C$12:C$40,$A$12:$A$40,$B4)</f>
        <v>15</v>
      </c>
      <c r="D4" s="5">
        <f t="shared" si="0"/>
        <v>632030000</v>
      </c>
      <c r="E4" s="187">
        <f t="shared" si="4"/>
        <v>15</v>
      </c>
      <c r="F4" s="5">
        <f t="shared" si="0"/>
        <v>613362600</v>
      </c>
      <c r="G4" s="187">
        <f t="shared" si="4"/>
        <v>19</v>
      </c>
      <c r="H4" s="5">
        <f t="shared" si="0"/>
        <v>800110352.33758402</v>
      </c>
      <c r="I4" s="1"/>
      <c r="J4" s="187">
        <f t="shared" ref="J4:J7" si="5">SUMIFS(J$12:J$40,$A$12:$A$40,$B4)</f>
        <v>29</v>
      </c>
      <c r="K4" s="231">
        <f t="shared" si="1"/>
        <v>1560014205.3868208</v>
      </c>
      <c r="L4" s="1"/>
      <c r="M4" s="187">
        <f t="shared" ref="M4:M7" si="6">SUMIFS(M$12:M$40,$A$12:$A$40,$B4)</f>
        <v>29</v>
      </c>
      <c r="N4" s="5">
        <f t="shared" si="2"/>
        <v>1560014205.3868208</v>
      </c>
      <c r="O4" s="1"/>
      <c r="P4" s="187">
        <f>+M4-G4</f>
        <v>10</v>
      </c>
      <c r="Q4" s="5">
        <f t="shared" si="3"/>
        <v>759903853.04923677</v>
      </c>
      <c r="R4" s="190">
        <f t="shared" ref="R4:R8" si="7">+Q4/H4</f>
        <v>0.94974880756025604</v>
      </c>
    </row>
    <row r="5" spans="1:19" x14ac:dyDescent="0.25">
      <c r="A5" s="1"/>
      <c r="B5" s="1" t="s">
        <v>13</v>
      </c>
      <c r="C5" s="187">
        <f t="shared" si="4"/>
        <v>41</v>
      </c>
      <c r="D5" s="5">
        <f t="shared" si="0"/>
        <v>1252000000</v>
      </c>
      <c r="E5" s="187">
        <f t="shared" si="4"/>
        <v>42</v>
      </c>
      <c r="F5" s="5">
        <f t="shared" si="0"/>
        <v>1261000000</v>
      </c>
      <c r="G5" s="187">
        <f t="shared" si="4"/>
        <v>38</v>
      </c>
      <c r="H5" s="5">
        <f t="shared" si="0"/>
        <v>1268574800.7252667</v>
      </c>
      <c r="I5" s="1"/>
      <c r="J5" s="187">
        <f t="shared" si="5"/>
        <v>37</v>
      </c>
      <c r="K5" s="5">
        <f t="shared" si="1"/>
        <v>1261511568.9086666</v>
      </c>
      <c r="L5" s="1"/>
      <c r="M5" s="187">
        <f t="shared" si="6"/>
        <v>37</v>
      </c>
      <c r="N5" s="5">
        <f t="shared" si="2"/>
        <v>1261511568.9086666</v>
      </c>
      <c r="O5" s="1"/>
      <c r="P5" s="187">
        <f t="shared" ref="P5:P7" si="8">+M5-G5</f>
        <v>-1</v>
      </c>
      <c r="Q5" s="5">
        <f t="shared" si="3"/>
        <v>-7063231.8166000843</v>
      </c>
      <c r="R5" s="190">
        <f t="shared" si="7"/>
        <v>-5.5678481178736243E-3</v>
      </c>
    </row>
    <row r="6" spans="1:19" x14ac:dyDescent="0.25">
      <c r="A6" s="1"/>
      <c r="B6" s="1" t="s">
        <v>25</v>
      </c>
      <c r="C6" s="187">
        <f t="shared" si="4"/>
        <v>60</v>
      </c>
      <c r="D6" s="5">
        <f t="shared" si="0"/>
        <v>1447000000</v>
      </c>
      <c r="E6" s="187">
        <f t="shared" si="4"/>
        <v>64</v>
      </c>
      <c r="F6" s="5">
        <f t="shared" si="0"/>
        <v>1478000000</v>
      </c>
      <c r="G6" s="187">
        <f t="shared" si="4"/>
        <v>42</v>
      </c>
      <c r="H6" s="5">
        <f t="shared" si="0"/>
        <v>1091497609.9280417</v>
      </c>
      <c r="I6" s="1"/>
      <c r="J6" s="187">
        <f t="shared" si="5"/>
        <v>41</v>
      </c>
      <c r="K6" s="5">
        <f t="shared" si="1"/>
        <v>1252759999.9999998</v>
      </c>
      <c r="L6" s="1"/>
      <c r="M6" s="187">
        <f t="shared" si="6"/>
        <v>41</v>
      </c>
      <c r="N6" s="5">
        <f t="shared" si="2"/>
        <v>1252759999.9999998</v>
      </c>
      <c r="O6" s="1"/>
      <c r="P6" s="187">
        <f t="shared" si="8"/>
        <v>-1</v>
      </c>
      <c r="Q6" s="5">
        <f t="shared" si="3"/>
        <v>161262390.07195807</v>
      </c>
      <c r="R6" s="190">
        <f t="shared" si="7"/>
        <v>0.14774415317555251</v>
      </c>
    </row>
    <row r="7" spans="1:19" x14ac:dyDescent="0.25">
      <c r="A7" s="1"/>
      <c r="B7" s="1" t="s">
        <v>78</v>
      </c>
      <c r="C7" s="187">
        <f t="shared" si="4"/>
        <v>110</v>
      </c>
      <c r="D7" s="5">
        <f t="shared" si="0"/>
        <v>1597292000</v>
      </c>
      <c r="E7" s="187">
        <f t="shared" si="4"/>
        <v>112</v>
      </c>
      <c r="F7" s="5">
        <f t="shared" si="0"/>
        <v>1647160000</v>
      </c>
      <c r="G7" s="187">
        <f t="shared" si="4"/>
        <v>114</v>
      </c>
      <c r="H7" s="5">
        <f t="shared" si="0"/>
        <v>2230391556.666667</v>
      </c>
      <c r="I7" s="1"/>
      <c r="J7" s="187">
        <f t="shared" si="5"/>
        <v>118</v>
      </c>
      <c r="K7" s="5">
        <f t="shared" si="1"/>
        <v>2464554971</v>
      </c>
      <c r="L7" s="1"/>
      <c r="M7" s="187">
        <f t="shared" si="6"/>
        <v>118</v>
      </c>
      <c r="N7" s="5">
        <f t="shared" si="2"/>
        <v>2464554971</v>
      </c>
      <c r="O7" s="1"/>
      <c r="P7" s="187">
        <f t="shared" si="8"/>
        <v>4</v>
      </c>
      <c r="Q7" s="5">
        <f t="shared" si="3"/>
        <v>234163414.33333302</v>
      </c>
      <c r="R7" s="190">
        <f t="shared" si="7"/>
        <v>0.10498758105204253</v>
      </c>
    </row>
    <row r="8" spans="1:19" x14ac:dyDescent="0.25">
      <c r="A8" s="1"/>
      <c r="B8" s="188" t="s">
        <v>498</v>
      </c>
      <c r="C8" s="2">
        <f t="shared" ref="C8:H8" si="9">SUM(C3:C7)</f>
        <v>231</v>
      </c>
      <c r="D8" s="189">
        <f t="shared" si="9"/>
        <v>5020322000</v>
      </c>
      <c r="E8" s="2">
        <f t="shared" si="9"/>
        <v>238</v>
      </c>
      <c r="F8" s="189">
        <f t="shared" si="9"/>
        <v>5091522600</v>
      </c>
      <c r="G8" s="2">
        <f t="shared" si="9"/>
        <v>218</v>
      </c>
      <c r="H8" s="189">
        <f t="shared" si="9"/>
        <v>5502994319.6575594</v>
      </c>
      <c r="I8" s="188"/>
      <c r="J8" s="2">
        <f>SUM(J3:J7)</f>
        <v>230</v>
      </c>
      <c r="K8" s="189">
        <f>SUM(K3:K7)</f>
        <v>6656102411.9621544</v>
      </c>
      <c r="L8" s="188"/>
      <c r="M8" s="2">
        <f>SUM(M3:M7)</f>
        <v>230</v>
      </c>
      <c r="N8" s="189">
        <f>SUM(N3:N7)</f>
        <v>6656102411.9621544</v>
      </c>
      <c r="O8" s="188"/>
      <c r="P8" s="2">
        <f>SUM(P3:P7)</f>
        <v>12</v>
      </c>
      <c r="Q8" s="189">
        <f>SUM(Q3:Q7)</f>
        <v>1153108092.3045945</v>
      </c>
      <c r="R8" s="190">
        <f t="shared" si="7"/>
        <v>0.20954193759305029</v>
      </c>
    </row>
    <row r="9" spans="1:19" x14ac:dyDescent="0.25">
      <c r="A9" s="1"/>
      <c r="B9" s="1"/>
      <c r="C9" s="1"/>
      <c r="D9" s="1"/>
      <c r="E9" s="1"/>
      <c r="F9" s="1"/>
      <c r="G9" s="1"/>
      <c r="H9" s="235"/>
      <c r="I9" s="1"/>
      <c r="J9" s="1"/>
      <c r="K9" s="5">
        <f>+K8-'PAA Contratistas 2024'!$C$11</f>
        <v>-40206225.037845612</v>
      </c>
      <c r="L9" s="1"/>
      <c r="M9" s="1"/>
      <c r="N9" s="5">
        <f>+N8-'PAA Contratistas 2024'!$C$11</f>
        <v>-40206225.037845612</v>
      </c>
      <c r="O9" s="1"/>
      <c r="P9" s="1"/>
      <c r="Q9" s="1"/>
      <c r="R9" s="1"/>
    </row>
    <row r="10" spans="1:19" x14ac:dyDescent="0.25">
      <c r="A10" s="1"/>
      <c r="B10" s="1"/>
      <c r="C10" s="1"/>
      <c r="D10" s="1"/>
      <c r="E10" s="1"/>
      <c r="F10" s="1"/>
      <c r="G10" s="1"/>
      <c r="H10" s="1"/>
      <c r="I10" s="1"/>
      <c r="J10" s="1"/>
      <c r="K10" s="1"/>
      <c r="L10" s="1"/>
      <c r="M10" s="1"/>
      <c r="N10" s="235"/>
      <c r="O10" s="1"/>
      <c r="P10" s="1"/>
      <c r="Q10" s="1"/>
      <c r="R10" s="1"/>
    </row>
    <row r="11" spans="1:19" x14ac:dyDescent="0.25">
      <c r="A11" s="183" t="s">
        <v>501</v>
      </c>
      <c r="B11" s="183" t="s">
        <v>54</v>
      </c>
      <c r="C11" s="184" t="s">
        <v>653</v>
      </c>
      <c r="D11" s="184" t="s">
        <v>654</v>
      </c>
      <c r="E11" s="184" t="s">
        <v>651</v>
      </c>
      <c r="F11" s="184" t="s">
        <v>652</v>
      </c>
      <c r="G11" s="184" t="s">
        <v>502</v>
      </c>
      <c r="H11" s="184" t="s">
        <v>503</v>
      </c>
      <c r="I11" s="2"/>
      <c r="J11" s="185" t="s">
        <v>504</v>
      </c>
      <c r="K11" s="185" t="s">
        <v>505</v>
      </c>
      <c r="L11" s="2"/>
      <c r="M11" s="185" t="s">
        <v>504</v>
      </c>
      <c r="N11" s="185" t="s">
        <v>505</v>
      </c>
      <c r="O11" s="2"/>
      <c r="P11" s="186" t="s">
        <v>506</v>
      </c>
      <c r="Q11" s="186" t="s">
        <v>507</v>
      </c>
      <c r="R11" s="186" t="s">
        <v>477</v>
      </c>
    </row>
    <row r="12" spans="1:19" x14ac:dyDescent="0.25">
      <c r="A12" s="1" t="s">
        <v>48</v>
      </c>
      <c r="B12" s="1" t="s">
        <v>48</v>
      </c>
      <c r="C12" s="187">
        <v>5</v>
      </c>
      <c r="D12" s="5">
        <v>92000000</v>
      </c>
      <c r="E12" s="187">
        <v>5</v>
      </c>
      <c r="F12" s="5">
        <v>92000000</v>
      </c>
      <c r="G12" s="187">
        <v>5</v>
      </c>
      <c r="H12" s="5">
        <v>112420000</v>
      </c>
      <c r="I12" s="1"/>
      <c r="J12" s="187">
        <v>5</v>
      </c>
      <c r="K12" s="5">
        <v>117261666.66666666</v>
      </c>
      <c r="L12" s="1"/>
      <c r="M12" s="187">
        <v>5</v>
      </c>
      <c r="N12" s="5">
        <v>117261666.66666666</v>
      </c>
      <c r="O12" s="1"/>
      <c r="P12" s="187">
        <f>+M12-C12</f>
        <v>0</v>
      </c>
      <c r="Q12" s="5">
        <f t="shared" ref="Q12:Q39" si="10">+N12-H12</f>
        <v>4841666.6666666567</v>
      </c>
      <c r="R12" s="190">
        <f>+Q12/H12</f>
        <v>4.3067662930676542E-2</v>
      </c>
    </row>
    <row r="13" spans="1:19" x14ac:dyDescent="0.25">
      <c r="A13" s="1" t="s">
        <v>65</v>
      </c>
      <c r="B13" s="1" t="s">
        <v>12</v>
      </c>
      <c r="C13" s="187">
        <v>1</v>
      </c>
      <c r="D13" s="5">
        <v>42500000</v>
      </c>
      <c r="E13" s="187">
        <v>1</v>
      </c>
      <c r="F13" s="5">
        <v>42500000</v>
      </c>
      <c r="G13" s="187">
        <v>1</v>
      </c>
      <c r="H13" s="5">
        <v>42000000</v>
      </c>
      <c r="I13" s="1"/>
      <c r="J13" s="187">
        <v>1</v>
      </c>
      <c r="K13" s="5">
        <v>46786666.666666664</v>
      </c>
      <c r="L13" s="1"/>
      <c r="M13" s="187">
        <v>1</v>
      </c>
      <c r="N13" s="5">
        <v>46786666.666666664</v>
      </c>
      <c r="O13" s="1"/>
      <c r="P13" s="187">
        <f t="shared" ref="P13:P39" si="11">+M13-C13</f>
        <v>0</v>
      </c>
      <c r="Q13" s="5">
        <f t="shared" si="10"/>
        <v>4786666.6666666642</v>
      </c>
      <c r="R13" s="190">
        <f t="shared" ref="R13:R40" si="12">+Q13/H13</f>
        <v>0.11396825396825391</v>
      </c>
    </row>
    <row r="14" spans="1:19" x14ac:dyDescent="0.25">
      <c r="A14" s="1" t="s">
        <v>65</v>
      </c>
      <c r="B14" s="1" t="s">
        <v>68</v>
      </c>
      <c r="C14" s="187">
        <v>2</v>
      </c>
      <c r="D14" s="5">
        <v>67250000</v>
      </c>
      <c r="E14" s="187">
        <v>2</v>
      </c>
      <c r="F14" s="5">
        <v>67250000</v>
      </c>
      <c r="G14" s="187">
        <v>2</v>
      </c>
      <c r="H14" s="5">
        <v>63000000</v>
      </c>
      <c r="I14" s="1"/>
      <c r="J14" s="187">
        <v>2</v>
      </c>
      <c r="K14" s="5">
        <v>85293333.333333328</v>
      </c>
      <c r="L14" s="1"/>
      <c r="M14" s="187">
        <v>2</v>
      </c>
      <c r="N14" s="5">
        <v>85293333.333333328</v>
      </c>
      <c r="O14" s="1"/>
      <c r="P14" s="187">
        <f t="shared" si="11"/>
        <v>0</v>
      </c>
      <c r="Q14" s="5">
        <f t="shared" si="10"/>
        <v>22293333.333333328</v>
      </c>
      <c r="R14" s="190">
        <f t="shared" si="12"/>
        <v>0.35386243386243377</v>
      </c>
      <c r="S14" t="s">
        <v>509</v>
      </c>
    </row>
    <row r="15" spans="1:19" x14ac:dyDescent="0.25">
      <c r="A15" s="1" t="s">
        <v>65</v>
      </c>
      <c r="B15" s="1" t="s">
        <v>5</v>
      </c>
      <c r="C15" s="187">
        <v>3</v>
      </c>
      <c r="D15" s="5">
        <v>142000000</v>
      </c>
      <c r="E15" s="187">
        <v>3</v>
      </c>
      <c r="F15" s="5">
        <v>142000000</v>
      </c>
      <c r="G15" s="187">
        <v>3</v>
      </c>
      <c r="H15" s="5">
        <v>146700000</v>
      </c>
      <c r="I15" s="1"/>
      <c r="J15" s="187">
        <v>3</v>
      </c>
      <c r="K15" s="5">
        <v>153920000</v>
      </c>
      <c r="L15" s="1"/>
      <c r="M15" s="187">
        <v>3</v>
      </c>
      <c r="N15" s="5">
        <v>153920000</v>
      </c>
      <c r="O15" s="1"/>
      <c r="P15" s="187">
        <f t="shared" si="11"/>
        <v>0</v>
      </c>
      <c r="Q15" s="5">
        <f t="shared" si="10"/>
        <v>7220000</v>
      </c>
      <c r="R15" s="190">
        <f t="shared" si="12"/>
        <v>4.921608725289707E-2</v>
      </c>
    </row>
    <row r="16" spans="1:19" x14ac:dyDescent="0.25">
      <c r="A16" s="1" t="s">
        <v>65</v>
      </c>
      <c r="B16" s="1" t="s">
        <v>9</v>
      </c>
      <c r="C16" s="187">
        <v>3</v>
      </c>
      <c r="D16" s="5">
        <v>107300000</v>
      </c>
      <c r="E16" s="187">
        <v>4</v>
      </c>
      <c r="F16" s="5">
        <v>123000000</v>
      </c>
      <c r="G16" s="187">
        <v>7</v>
      </c>
      <c r="H16" s="5">
        <v>191308062.90278399</v>
      </c>
      <c r="I16" s="1"/>
      <c r="J16" s="187">
        <v>13</v>
      </c>
      <c r="K16" s="231">
        <v>685558869.19306242</v>
      </c>
      <c r="L16" s="1"/>
      <c r="M16" s="187">
        <v>13</v>
      </c>
      <c r="N16" s="231">
        <v>685558869.19306242</v>
      </c>
      <c r="O16" s="1"/>
      <c r="P16" s="187">
        <f t="shared" si="11"/>
        <v>10</v>
      </c>
      <c r="Q16" s="5">
        <f t="shared" si="10"/>
        <v>494250806.29027843</v>
      </c>
      <c r="R16" s="190">
        <f t="shared" si="12"/>
        <v>2.583533588657156</v>
      </c>
      <c r="S16" t="s">
        <v>515</v>
      </c>
    </row>
    <row r="17" spans="1:19" x14ac:dyDescent="0.25">
      <c r="A17" s="1" t="s">
        <v>65</v>
      </c>
      <c r="B17" s="1" t="s">
        <v>6</v>
      </c>
      <c r="C17" s="187">
        <v>2</v>
      </c>
      <c r="D17" s="5">
        <v>152000000</v>
      </c>
      <c r="E17" s="187">
        <v>2</v>
      </c>
      <c r="F17" s="5">
        <v>152000000</v>
      </c>
      <c r="G17" s="187">
        <v>2</v>
      </c>
      <c r="H17" s="5">
        <v>165000000</v>
      </c>
      <c r="I17" s="1"/>
      <c r="J17" s="187">
        <v>3</v>
      </c>
      <c r="K17" s="5">
        <v>217889999.5</v>
      </c>
      <c r="L17" s="1"/>
      <c r="M17" s="187">
        <v>3</v>
      </c>
      <c r="N17" s="5">
        <v>217889999.5</v>
      </c>
      <c r="O17" s="1"/>
      <c r="P17" s="187">
        <f t="shared" si="11"/>
        <v>1</v>
      </c>
      <c r="Q17" s="5">
        <f t="shared" si="10"/>
        <v>52889999.5</v>
      </c>
      <c r="R17" s="190">
        <f t="shared" si="12"/>
        <v>0.32054545151515151</v>
      </c>
      <c r="S17" t="s">
        <v>512</v>
      </c>
    </row>
    <row r="18" spans="1:19" x14ac:dyDescent="0.25">
      <c r="A18" s="1" t="s">
        <v>65</v>
      </c>
      <c r="B18" s="1" t="s">
        <v>136</v>
      </c>
      <c r="C18" s="187">
        <v>0</v>
      </c>
      <c r="D18" s="5">
        <v>0</v>
      </c>
      <c r="E18" s="187">
        <v>0</v>
      </c>
      <c r="F18" s="5">
        <v>0</v>
      </c>
      <c r="G18" s="187">
        <v>1</v>
      </c>
      <c r="H18" s="5">
        <v>55000000</v>
      </c>
      <c r="I18" s="1"/>
      <c r="J18" s="187">
        <v>1</v>
      </c>
      <c r="K18" s="5">
        <v>57950000</v>
      </c>
      <c r="L18" s="1"/>
      <c r="M18" s="187">
        <v>1</v>
      </c>
      <c r="N18" s="5">
        <v>57950000</v>
      </c>
      <c r="O18" s="1"/>
      <c r="P18" s="187">
        <f t="shared" si="11"/>
        <v>1</v>
      </c>
      <c r="Q18" s="5">
        <f t="shared" si="10"/>
        <v>2950000</v>
      </c>
      <c r="R18" s="190">
        <f t="shared" si="12"/>
        <v>5.3636363636363635E-2</v>
      </c>
    </row>
    <row r="19" spans="1:19" x14ac:dyDescent="0.25">
      <c r="A19" s="1" t="s">
        <v>65</v>
      </c>
      <c r="B19" s="1" t="s">
        <v>65</v>
      </c>
      <c r="C19" s="187">
        <v>3</v>
      </c>
      <c r="D19" s="5">
        <v>102680000</v>
      </c>
      <c r="E19" s="187">
        <v>2</v>
      </c>
      <c r="F19" s="5">
        <v>68312600</v>
      </c>
      <c r="G19" s="187">
        <v>2</v>
      </c>
      <c r="H19" s="5">
        <v>115102289.4348</v>
      </c>
      <c r="I19" s="1"/>
      <c r="J19" s="187">
        <v>5</v>
      </c>
      <c r="K19" s="231">
        <v>290005336.69375837</v>
      </c>
      <c r="L19" s="1"/>
      <c r="M19" s="187">
        <v>5</v>
      </c>
      <c r="N19" s="231">
        <v>290005336.69375837</v>
      </c>
      <c r="O19" s="1"/>
      <c r="P19" s="187">
        <f t="shared" si="11"/>
        <v>2</v>
      </c>
      <c r="Q19" s="5">
        <f t="shared" si="10"/>
        <v>174903047.25895837</v>
      </c>
      <c r="R19" s="190">
        <f t="shared" si="12"/>
        <v>1.5195444688181696</v>
      </c>
      <c r="S19" t="s">
        <v>510</v>
      </c>
    </row>
    <row r="20" spans="1:19" x14ac:dyDescent="0.25">
      <c r="A20" s="1" t="s">
        <v>65</v>
      </c>
      <c r="B20" s="1" t="s">
        <v>3</v>
      </c>
      <c r="C20" s="187">
        <v>1</v>
      </c>
      <c r="D20" s="5">
        <v>18300000</v>
      </c>
      <c r="E20" s="187">
        <v>1</v>
      </c>
      <c r="F20" s="5">
        <v>18300000</v>
      </c>
      <c r="G20" s="187">
        <v>1</v>
      </c>
      <c r="H20" s="5">
        <v>22000000</v>
      </c>
      <c r="I20" s="1"/>
      <c r="J20" s="187">
        <v>1</v>
      </c>
      <c r="K20" s="5">
        <v>22610000</v>
      </c>
      <c r="L20" s="1"/>
      <c r="M20" s="187">
        <v>1</v>
      </c>
      <c r="N20" s="5">
        <v>22610000</v>
      </c>
      <c r="O20" s="1"/>
      <c r="P20" s="187">
        <f t="shared" si="11"/>
        <v>0</v>
      </c>
      <c r="Q20" s="5">
        <f t="shared" si="10"/>
        <v>610000</v>
      </c>
      <c r="R20" s="190">
        <f t="shared" si="12"/>
        <v>2.7727272727272729E-2</v>
      </c>
    </row>
    <row r="21" spans="1:19" x14ac:dyDescent="0.25">
      <c r="A21" s="1" t="s">
        <v>13</v>
      </c>
      <c r="B21" s="1" t="s">
        <v>20</v>
      </c>
      <c r="C21" s="187">
        <v>2</v>
      </c>
      <c r="D21" s="5">
        <v>50000000</v>
      </c>
      <c r="E21" s="187">
        <v>2</v>
      </c>
      <c r="F21" s="5">
        <v>57000000</v>
      </c>
      <c r="G21" s="187">
        <v>2</v>
      </c>
      <c r="H21" s="5">
        <v>59849478.891933337</v>
      </c>
      <c r="I21" s="1"/>
      <c r="J21" s="187">
        <v>1</v>
      </c>
      <c r="K21" s="5">
        <v>67680000</v>
      </c>
      <c r="L21" s="1"/>
      <c r="M21" s="187">
        <v>1</v>
      </c>
      <c r="N21" s="5">
        <v>67680000</v>
      </c>
      <c r="O21" s="1"/>
      <c r="P21" s="187">
        <f t="shared" si="11"/>
        <v>-1</v>
      </c>
      <c r="Q21" s="5">
        <f t="shared" si="10"/>
        <v>7830521.1080666631</v>
      </c>
      <c r="R21" s="190">
        <f t="shared" si="12"/>
        <v>0.13083691375501819</v>
      </c>
    </row>
    <row r="22" spans="1:19" x14ac:dyDescent="0.25">
      <c r="A22" s="1" t="s">
        <v>13</v>
      </c>
      <c r="B22" s="1" t="s">
        <v>74</v>
      </c>
      <c r="C22" s="187">
        <v>9</v>
      </c>
      <c r="D22" s="5">
        <v>405000000</v>
      </c>
      <c r="E22" s="187">
        <v>10</v>
      </c>
      <c r="F22" s="5">
        <v>405000000</v>
      </c>
      <c r="G22" s="187">
        <v>8</v>
      </c>
      <c r="H22" s="5">
        <v>322910871.16666669</v>
      </c>
      <c r="I22" s="1"/>
      <c r="J22" s="187">
        <v>6</v>
      </c>
      <c r="K22" s="5">
        <v>279973958.2833333</v>
      </c>
      <c r="L22" s="1"/>
      <c r="M22" s="187">
        <v>6</v>
      </c>
      <c r="N22" s="5">
        <v>279973958.2833333</v>
      </c>
      <c r="O22" s="1"/>
      <c r="P22" s="187">
        <f t="shared" si="11"/>
        <v>-3</v>
      </c>
      <c r="Q22" s="5">
        <f t="shared" si="10"/>
        <v>-42936912.883333385</v>
      </c>
      <c r="R22" s="190">
        <f t="shared" si="12"/>
        <v>-0.13296831019718749</v>
      </c>
    </row>
    <row r="23" spans="1:19" x14ac:dyDescent="0.25">
      <c r="A23" s="1" t="s">
        <v>13</v>
      </c>
      <c r="B23" s="1" t="s">
        <v>21</v>
      </c>
      <c r="C23" s="187">
        <v>1</v>
      </c>
      <c r="D23" s="5">
        <v>144000000</v>
      </c>
      <c r="E23" s="187">
        <v>1</v>
      </c>
      <c r="F23" s="5">
        <v>144000000</v>
      </c>
      <c r="G23" s="187">
        <v>1</v>
      </c>
      <c r="H23" s="5">
        <v>80159799</v>
      </c>
      <c r="I23" s="1"/>
      <c r="J23" s="187">
        <v>1</v>
      </c>
      <c r="K23" s="5">
        <v>88817057.291999996</v>
      </c>
      <c r="L23" s="1"/>
      <c r="M23" s="187">
        <v>1</v>
      </c>
      <c r="N23" s="5">
        <v>88817057.291999996</v>
      </c>
      <c r="O23" s="1"/>
      <c r="P23" s="187">
        <f t="shared" si="11"/>
        <v>0</v>
      </c>
      <c r="Q23" s="5">
        <f t="shared" si="10"/>
        <v>8657258.2919999957</v>
      </c>
      <c r="R23" s="190">
        <f t="shared" si="12"/>
        <v>0.10799999999999994</v>
      </c>
    </row>
    <row r="24" spans="1:19" x14ac:dyDescent="0.25">
      <c r="A24" s="1" t="s">
        <v>13</v>
      </c>
      <c r="B24" s="1" t="s">
        <v>22</v>
      </c>
      <c r="C24" s="187">
        <v>6</v>
      </c>
      <c r="D24" s="5">
        <f>138000000+45000000</f>
        <v>183000000</v>
      </c>
      <c r="E24" s="187">
        <v>6</v>
      </c>
      <c r="F24" s="5">
        <f>138000000+45000000</f>
        <v>183000000</v>
      </c>
      <c r="G24" s="187">
        <v>5</v>
      </c>
      <c r="H24" s="5">
        <v>184440000</v>
      </c>
      <c r="I24" s="1"/>
      <c r="J24" s="187">
        <v>5</v>
      </c>
      <c r="K24" s="5">
        <v>191863333.33333334</v>
      </c>
      <c r="L24" s="1"/>
      <c r="M24" s="187">
        <v>5</v>
      </c>
      <c r="N24" s="5">
        <v>191863333.33333334</v>
      </c>
      <c r="O24" s="1"/>
      <c r="P24" s="187">
        <f t="shared" si="11"/>
        <v>-1</v>
      </c>
      <c r="Q24" s="5">
        <f t="shared" si="10"/>
        <v>7423333.3333333433</v>
      </c>
      <c r="R24" s="190">
        <f t="shared" si="12"/>
        <v>4.0247957782115283E-2</v>
      </c>
    </row>
    <row r="25" spans="1:19" x14ac:dyDescent="0.25">
      <c r="A25" s="1" t="s">
        <v>13</v>
      </c>
      <c r="B25" s="1" t="s">
        <v>89</v>
      </c>
      <c r="C25" s="187">
        <v>13</v>
      </c>
      <c r="D25" s="5">
        <v>253000000</v>
      </c>
      <c r="E25" s="187">
        <v>13</v>
      </c>
      <c r="F25" s="5">
        <v>252000000</v>
      </c>
      <c r="G25" s="187">
        <v>13</v>
      </c>
      <c r="H25" s="5">
        <v>327896585</v>
      </c>
      <c r="I25" s="1"/>
      <c r="J25" s="187">
        <v>17</v>
      </c>
      <c r="K25" s="5">
        <v>409057220</v>
      </c>
      <c r="L25" s="1"/>
      <c r="M25" s="187">
        <v>17</v>
      </c>
      <c r="N25" s="5">
        <v>409057220</v>
      </c>
      <c r="O25" s="1"/>
      <c r="P25" s="187">
        <f t="shared" si="11"/>
        <v>4</v>
      </c>
      <c r="Q25" s="5">
        <f t="shared" si="10"/>
        <v>81160635</v>
      </c>
      <c r="R25" s="190">
        <f t="shared" si="12"/>
        <v>0.2475190005409785</v>
      </c>
    </row>
    <row r="26" spans="1:19" x14ac:dyDescent="0.25">
      <c r="A26" s="1" t="s">
        <v>13</v>
      </c>
      <c r="B26" s="1" t="s">
        <v>42</v>
      </c>
      <c r="C26" s="187">
        <v>5</v>
      </c>
      <c r="D26" s="5">
        <v>78000000</v>
      </c>
      <c r="E26" s="187">
        <v>5</v>
      </c>
      <c r="F26" s="5">
        <v>78000000</v>
      </c>
      <c r="G26" s="187">
        <v>5</v>
      </c>
      <c r="H26" s="5">
        <v>103646400</v>
      </c>
      <c r="I26" s="1"/>
      <c r="J26" s="187">
        <v>5</v>
      </c>
      <c r="K26" s="5">
        <v>119600000</v>
      </c>
      <c r="L26" s="1"/>
      <c r="M26" s="187">
        <v>5</v>
      </c>
      <c r="N26" s="5">
        <v>119600000</v>
      </c>
      <c r="O26" s="1"/>
      <c r="P26" s="187">
        <f t="shared" si="11"/>
        <v>0</v>
      </c>
      <c r="Q26" s="5">
        <f t="shared" si="10"/>
        <v>15953600</v>
      </c>
      <c r="R26" s="190">
        <f t="shared" si="12"/>
        <v>0.15392333935380292</v>
      </c>
      <c r="S26" t="s">
        <v>509</v>
      </c>
    </row>
    <row r="27" spans="1:19" x14ac:dyDescent="0.25">
      <c r="A27" s="1" t="s">
        <v>13</v>
      </c>
      <c r="B27" s="1" t="s">
        <v>18</v>
      </c>
      <c r="C27" s="187">
        <v>5</v>
      </c>
      <c r="D27" s="5">
        <v>139000000</v>
      </c>
      <c r="E27" s="187">
        <v>5</v>
      </c>
      <c r="F27" s="5">
        <v>142000000</v>
      </c>
      <c r="G27" s="187">
        <v>4</v>
      </c>
      <c r="H27" s="5">
        <v>189671666.66666669</v>
      </c>
      <c r="I27" s="1"/>
      <c r="J27" s="187">
        <v>2</v>
      </c>
      <c r="K27" s="5">
        <v>104520000</v>
      </c>
      <c r="L27" s="1"/>
      <c r="M27" s="187">
        <v>2</v>
      </c>
      <c r="N27" s="5">
        <v>104520000</v>
      </c>
      <c r="O27" s="1"/>
      <c r="P27" s="187">
        <f t="shared" si="11"/>
        <v>-3</v>
      </c>
      <c r="Q27" s="5">
        <f t="shared" si="10"/>
        <v>-85151666.666666687</v>
      </c>
      <c r="R27" s="190">
        <f t="shared" si="12"/>
        <v>-0.44894247076087629</v>
      </c>
    </row>
    <row r="28" spans="1:19" x14ac:dyDescent="0.25">
      <c r="A28" s="1" t="s">
        <v>25</v>
      </c>
      <c r="B28" s="1" t="s">
        <v>80</v>
      </c>
      <c r="C28" s="187">
        <v>7</v>
      </c>
      <c r="D28" s="5">
        <v>224000000</v>
      </c>
      <c r="E28" s="187">
        <v>7</v>
      </c>
      <c r="F28" s="5">
        <v>226000000</v>
      </c>
      <c r="G28" s="187">
        <v>3</v>
      </c>
      <c r="H28" s="5">
        <v>136400000</v>
      </c>
      <c r="I28" s="1"/>
      <c r="J28" s="187">
        <v>3</v>
      </c>
      <c r="K28" s="5">
        <v>171326666.66666669</v>
      </c>
      <c r="L28" s="1"/>
      <c r="M28" s="187">
        <v>3</v>
      </c>
      <c r="N28" s="5">
        <v>171326666.66666669</v>
      </c>
      <c r="O28" s="1"/>
      <c r="P28" s="187">
        <f t="shared" si="11"/>
        <v>-4</v>
      </c>
      <c r="Q28" s="5">
        <f t="shared" si="10"/>
        <v>34926666.666666687</v>
      </c>
      <c r="R28" s="190">
        <f t="shared" si="12"/>
        <v>0.25606060606060621</v>
      </c>
      <c r="S28" t="s">
        <v>509</v>
      </c>
    </row>
    <row r="29" spans="1:19" x14ac:dyDescent="0.25">
      <c r="A29" s="1" t="s">
        <v>25</v>
      </c>
      <c r="B29" s="1" t="s">
        <v>81</v>
      </c>
      <c r="C29" s="187">
        <v>0</v>
      </c>
      <c r="D29" s="5">
        <v>0</v>
      </c>
      <c r="E29" s="187">
        <v>1</v>
      </c>
      <c r="F29" s="5">
        <v>7000000</v>
      </c>
      <c r="G29" s="187">
        <v>1</v>
      </c>
      <c r="H29" s="5">
        <v>42280000</v>
      </c>
      <c r="I29" s="1"/>
      <c r="J29" s="187">
        <v>1</v>
      </c>
      <c r="K29" s="5">
        <v>43853333.333333336</v>
      </c>
      <c r="L29" s="1"/>
      <c r="M29" s="187">
        <v>1</v>
      </c>
      <c r="N29" s="5">
        <v>43853333.333333336</v>
      </c>
      <c r="O29" s="1"/>
      <c r="P29" s="187">
        <f t="shared" si="11"/>
        <v>1</v>
      </c>
      <c r="Q29" s="5">
        <f t="shared" si="10"/>
        <v>1573333.3333333358</v>
      </c>
      <c r="R29" s="190">
        <f t="shared" si="12"/>
        <v>3.7212235887732634E-2</v>
      </c>
    </row>
    <row r="30" spans="1:19" x14ac:dyDescent="0.25">
      <c r="A30" s="1" t="s">
        <v>25</v>
      </c>
      <c r="B30" s="1" t="s">
        <v>38</v>
      </c>
      <c r="C30" s="187">
        <v>38</v>
      </c>
      <c r="D30" s="5">
        <f>544000000+141000000</f>
        <v>685000000</v>
      </c>
      <c r="E30" s="187">
        <v>40</v>
      </c>
      <c r="F30" s="5">
        <f>544000000+154000000</f>
        <v>698000000</v>
      </c>
      <c r="G30" s="187">
        <v>24</v>
      </c>
      <c r="H30" s="5">
        <v>341310943.26137507</v>
      </c>
      <c r="I30" s="1"/>
      <c r="J30" s="187">
        <v>24</v>
      </c>
      <c r="K30" s="5">
        <v>470063333.33333325</v>
      </c>
      <c r="L30" s="1"/>
      <c r="M30" s="187">
        <v>24</v>
      </c>
      <c r="N30" s="5">
        <v>470063333.33333325</v>
      </c>
      <c r="O30" s="1"/>
      <c r="P30" s="187">
        <f t="shared" si="11"/>
        <v>-14</v>
      </c>
      <c r="Q30" s="5">
        <f t="shared" si="10"/>
        <v>128752390.07195818</v>
      </c>
      <c r="R30" s="190">
        <f t="shared" si="12"/>
        <v>0.37722901247077778</v>
      </c>
      <c r="S30" t="s">
        <v>650</v>
      </c>
    </row>
    <row r="31" spans="1:19" x14ac:dyDescent="0.25">
      <c r="A31" s="1" t="s">
        <v>25</v>
      </c>
      <c r="B31" s="1" t="s">
        <v>31</v>
      </c>
      <c r="C31" s="187">
        <v>14</v>
      </c>
      <c r="D31" s="5">
        <v>519000000</v>
      </c>
      <c r="E31" s="187">
        <v>15</v>
      </c>
      <c r="F31" s="5">
        <v>528000000</v>
      </c>
      <c r="G31" s="187">
        <v>11</v>
      </c>
      <c r="H31" s="5">
        <v>438126666.66666663</v>
      </c>
      <c r="I31" s="1"/>
      <c r="J31" s="187">
        <v>10</v>
      </c>
      <c r="K31" s="5">
        <v>429333333.33333337</v>
      </c>
      <c r="L31" s="1"/>
      <c r="M31" s="187">
        <v>10</v>
      </c>
      <c r="N31" s="5">
        <v>429333333.33333337</v>
      </c>
      <c r="O31" s="1"/>
      <c r="P31" s="187">
        <f t="shared" si="11"/>
        <v>-4</v>
      </c>
      <c r="Q31" s="5">
        <f t="shared" si="10"/>
        <v>-8793333.3333332539</v>
      </c>
      <c r="R31" s="190">
        <f t="shared" si="12"/>
        <v>-2.0070299304614923E-2</v>
      </c>
    </row>
    <row r="32" spans="1:19" x14ac:dyDescent="0.25">
      <c r="A32" s="1" t="s">
        <v>25</v>
      </c>
      <c r="B32" s="1" t="s">
        <v>138</v>
      </c>
      <c r="C32" s="187">
        <v>0</v>
      </c>
      <c r="D32" s="5">
        <v>0</v>
      </c>
      <c r="E32" s="187">
        <v>0</v>
      </c>
      <c r="F32" s="5">
        <v>0</v>
      </c>
      <c r="G32" s="187">
        <v>1</v>
      </c>
      <c r="H32" s="5">
        <v>44380000</v>
      </c>
      <c r="I32" s="1"/>
      <c r="J32" s="187">
        <v>1</v>
      </c>
      <c r="K32" s="5">
        <v>46053333.333333336</v>
      </c>
      <c r="L32" s="1"/>
      <c r="M32" s="187">
        <v>1</v>
      </c>
      <c r="N32" s="5">
        <v>46053333.333333336</v>
      </c>
      <c r="O32" s="1"/>
      <c r="P32" s="187">
        <f t="shared" si="11"/>
        <v>1</v>
      </c>
      <c r="Q32" s="5">
        <f t="shared" si="10"/>
        <v>1673333.3333333358</v>
      </c>
      <c r="R32" s="190">
        <f t="shared" si="12"/>
        <v>3.7704671774072461E-2</v>
      </c>
    </row>
    <row r="33" spans="1:19" x14ac:dyDescent="0.25">
      <c r="A33" s="1" t="s">
        <v>25</v>
      </c>
      <c r="B33" s="1" t="s">
        <v>29</v>
      </c>
      <c r="C33" s="187">
        <v>1</v>
      </c>
      <c r="D33" s="5">
        <v>19000000</v>
      </c>
      <c r="E33" s="187">
        <v>1</v>
      </c>
      <c r="F33" s="5">
        <v>19000000</v>
      </c>
      <c r="G33" s="187">
        <v>1</v>
      </c>
      <c r="H33" s="5">
        <v>22200000</v>
      </c>
      <c r="I33" s="1"/>
      <c r="J33" s="187">
        <v>1</v>
      </c>
      <c r="K33" s="5">
        <v>23310000</v>
      </c>
      <c r="L33" s="1"/>
      <c r="M33" s="187">
        <v>1</v>
      </c>
      <c r="N33" s="5">
        <v>23310000</v>
      </c>
      <c r="O33" s="1"/>
      <c r="P33" s="187">
        <f t="shared" si="11"/>
        <v>0</v>
      </c>
      <c r="Q33" s="5">
        <f t="shared" si="10"/>
        <v>1110000</v>
      </c>
      <c r="R33" s="190">
        <f t="shared" si="12"/>
        <v>0.05</v>
      </c>
    </row>
    <row r="34" spans="1:19" x14ac:dyDescent="0.25">
      <c r="A34" s="1" t="s">
        <v>25</v>
      </c>
      <c r="B34" s="1" t="s">
        <v>137</v>
      </c>
      <c r="C34" s="187">
        <v>0</v>
      </c>
      <c r="D34" s="5">
        <v>0</v>
      </c>
      <c r="E34" s="187">
        <v>0</v>
      </c>
      <c r="F34" s="5">
        <v>0</v>
      </c>
      <c r="G34" s="187">
        <v>1</v>
      </c>
      <c r="H34" s="5">
        <v>66800000</v>
      </c>
      <c r="I34" s="1"/>
      <c r="J34" s="187">
        <v>1</v>
      </c>
      <c r="K34" s="5">
        <v>68820000</v>
      </c>
      <c r="L34" s="1"/>
      <c r="M34" s="187">
        <v>1</v>
      </c>
      <c r="N34" s="5">
        <v>68820000</v>
      </c>
      <c r="O34" s="1"/>
      <c r="P34" s="187">
        <f t="shared" si="11"/>
        <v>1</v>
      </c>
      <c r="Q34" s="5">
        <f t="shared" si="10"/>
        <v>2020000</v>
      </c>
      <c r="R34" s="190">
        <f t="shared" si="12"/>
        <v>3.0239520958083833E-2</v>
      </c>
    </row>
    <row r="35" spans="1:19" x14ac:dyDescent="0.25">
      <c r="A35" s="1" t="s">
        <v>78</v>
      </c>
      <c r="B35" s="1" t="s">
        <v>23</v>
      </c>
      <c r="C35" s="187">
        <v>1</v>
      </c>
      <c r="D35" s="5">
        <v>3608000</v>
      </c>
      <c r="E35" s="187">
        <v>1</v>
      </c>
      <c r="F35" s="5">
        <v>3608000</v>
      </c>
      <c r="G35" s="187">
        <v>2</v>
      </c>
      <c r="H35" s="5">
        <v>33280000</v>
      </c>
      <c r="I35" s="1"/>
      <c r="J35" s="187">
        <v>2</v>
      </c>
      <c r="K35" s="5">
        <v>62909383.333333336</v>
      </c>
      <c r="L35" s="1"/>
      <c r="M35" s="187">
        <v>2</v>
      </c>
      <c r="N35" s="5">
        <v>62909383.333333336</v>
      </c>
      <c r="O35" s="1"/>
      <c r="P35" s="187">
        <f t="shared" si="11"/>
        <v>1</v>
      </c>
      <c r="Q35" s="5">
        <f t="shared" si="10"/>
        <v>29629383.333333336</v>
      </c>
      <c r="R35" s="190">
        <f t="shared" si="12"/>
        <v>0.8903059895833334</v>
      </c>
      <c r="S35" t="s">
        <v>509</v>
      </c>
    </row>
    <row r="36" spans="1:19" x14ac:dyDescent="0.25">
      <c r="A36" s="1" t="s">
        <v>78</v>
      </c>
      <c r="B36" s="1" t="s">
        <v>375</v>
      </c>
      <c r="C36" s="187">
        <v>101</v>
      </c>
      <c r="D36" s="5">
        <v>1347552000</v>
      </c>
      <c r="E36" s="187">
        <v>101</v>
      </c>
      <c r="F36" s="5">
        <v>1347552000</v>
      </c>
      <c r="G36" s="187">
        <v>101</v>
      </c>
      <c r="H36" s="5">
        <v>1772454890</v>
      </c>
      <c r="I36" s="1"/>
      <c r="J36" s="187">
        <v>105</v>
      </c>
      <c r="K36" s="5">
        <v>1936028921</v>
      </c>
      <c r="L36" s="1"/>
      <c r="M36" s="187">
        <v>105</v>
      </c>
      <c r="N36" s="5">
        <v>1936028921</v>
      </c>
      <c r="O36" s="1"/>
      <c r="P36" s="187">
        <f t="shared" si="11"/>
        <v>4</v>
      </c>
      <c r="Q36" s="5">
        <f t="shared" si="10"/>
        <v>163574031</v>
      </c>
      <c r="R36" s="190">
        <f t="shared" si="12"/>
        <v>9.2286710326376767E-2</v>
      </c>
    </row>
    <row r="37" spans="1:19" x14ac:dyDescent="0.25">
      <c r="A37" s="1" t="s">
        <v>78</v>
      </c>
      <c r="B37" s="1" t="s">
        <v>79</v>
      </c>
      <c r="C37" s="187">
        <v>6</v>
      </c>
      <c r="D37" s="5">
        <v>180000000</v>
      </c>
      <c r="E37" s="187">
        <v>6</v>
      </c>
      <c r="F37" s="5">
        <v>180000000</v>
      </c>
      <c r="G37" s="187">
        <v>6</v>
      </c>
      <c r="H37" s="5">
        <v>218256666.66666666</v>
      </c>
      <c r="I37" s="1"/>
      <c r="J37" s="187">
        <v>6</v>
      </c>
      <c r="K37" s="5">
        <v>230266666.66666669</v>
      </c>
      <c r="L37" s="1"/>
      <c r="M37" s="187">
        <v>6</v>
      </c>
      <c r="N37" s="5">
        <v>230266666.66666669</v>
      </c>
      <c r="O37" s="1"/>
      <c r="P37" s="187">
        <f t="shared" si="11"/>
        <v>0</v>
      </c>
      <c r="Q37" s="5">
        <f t="shared" si="10"/>
        <v>12010000.00000003</v>
      </c>
      <c r="R37" s="190">
        <f t="shared" si="12"/>
        <v>5.5026956030361944E-2</v>
      </c>
    </row>
    <row r="38" spans="1:19" x14ac:dyDescent="0.25">
      <c r="A38" s="1" t="s">
        <v>78</v>
      </c>
      <c r="B38" s="1" t="s">
        <v>91</v>
      </c>
      <c r="C38" s="187">
        <v>2</v>
      </c>
      <c r="D38" s="5">
        <v>66132000</v>
      </c>
      <c r="E38" s="187">
        <v>4</v>
      </c>
      <c r="F38" s="5">
        <v>116000000</v>
      </c>
      <c r="G38" s="187">
        <v>4</v>
      </c>
      <c r="H38" s="5">
        <v>185400000</v>
      </c>
      <c r="I38" s="1"/>
      <c r="J38" s="187">
        <v>4</v>
      </c>
      <c r="K38" s="5">
        <v>196480000</v>
      </c>
      <c r="L38" s="1"/>
      <c r="M38" s="187">
        <v>4</v>
      </c>
      <c r="N38" s="5">
        <v>196480000</v>
      </c>
      <c r="O38" s="1"/>
      <c r="P38" s="187">
        <f t="shared" si="11"/>
        <v>2</v>
      </c>
      <c r="Q38" s="5">
        <f t="shared" si="10"/>
        <v>11080000</v>
      </c>
      <c r="R38" s="190">
        <f t="shared" si="12"/>
        <v>5.9762675296655882E-2</v>
      </c>
    </row>
    <row r="39" spans="1:19" x14ac:dyDescent="0.25">
      <c r="A39" s="1" t="s">
        <v>78</v>
      </c>
      <c r="B39" s="1" t="s">
        <v>371</v>
      </c>
      <c r="C39" s="187">
        <v>0</v>
      </c>
      <c r="D39" s="5">
        <v>0</v>
      </c>
      <c r="E39" s="187">
        <v>0</v>
      </c>
      <c r="F39" s="5">
        <v>0</v>
      </c>
      <c r="G39" s="187">
        <v>1</v>
      </c>
      <c r="H39" s="5">
        <v>21000000</v>
      </c>
      <c r="I39" s="1"/>
      <c r="J39" s="187">
        <v>1</v>
      </c>
      <c r="K39" s="5">
        <v>38870000</v>
      </c>
      <c r="L39" s="1"/>
      <c r="M39" s="187">
        <v>1</v>
      </c>
      <c r="N39" s="5">
        <v>38870000</v>
      </c>
      <c r="O39" s="1"/>
      <c r="P39" s="187">
        <f t="shared" si="11"/>
        <v>1</v>
      </c>
      <c r="Q39" s="5">
        <f t="shared" si="10"/>
        <v>17870000</v>
      </c>
      <c r="R39" s="190">
        <f t="shared" si="12"/>
        <v>0.8509523809523809</v>
      </c>
      <c r="S39" t="s">
        <v>509</v>
      </c>
    </row>
    <row r="40" spans="1:19" x14ac:dyDescent="0.25">
      <c r="B40" s="188" t="s">
        <v>498</v>
      </c>
      <c r="C40" s="2">
        <f t="shared" ref="C40:K40" si="13">SUM(C12:C39)</f>
        <v>231</v>
      </c>
      <c r="D40" s="189">
        <f t="shared" si="13"/>
        <v>5020322000</v>
      </c>
      <c r="E40" s="2">
        <f t="shared" si="13"/>
        <v>238</v>
      </c>
      <c r="F40" s="189">
        <f t="shared" si="13"/>
        <v>5091522600</v>
      </c>
      <c r="G40" s="2">
        <f t="shared" si="13"/>
        <v>218</v>
      </c>
      <c r="H40" s="189">
        <f t="shared" si="13"/>
        <v>5502994319.6575594</v>
      </c>
      <c r="I40" s="188"/>
      <c r="J40" s="2">
        <f t="shared" si="13"/>
        <v>230</v>
      </c>
      <c r="K40" s="189">
        <f t="shared" si="13"/>
        <v>6656102411.9621553</v>
      </c>
      <c r="L40" s="188"/>
      <c r="M40" s="2">
        <f>SUM(M12:M39)</f>
        <v>230</v>
      </c>
      <c r="N40" s="189">
        <f>SUM(N12:N39)</f>
        <v>6656102411.9621553</v>
      </c>
      <c r="O40" s="188"/>
      <c r="P40" s="2">
        <f>SUM(P12:P39)</f>
        <v>-1</v>
      </c>
      <c r="Q40" s="189">
        <f>SUM(Q12:Q39)</f>
        <v>1153108092.3045952</v>
      </c>
      <c r="R40" s="191">
        <f t="shared" si="12"/>
        <v>0.20954193759305043</v>
      </c>
    </row>
    <row r="41" spans="1:19" x14ac:dyDescent="0.25">
      <c r="J41">
        <v>2</v>
      </c>
      <c r="K41">
        <v>24591421.449999999</v>
      </c>
    </row>
    <row r="42" spans="1:19" x14ac:dyDescent="0.25">
      <c r="K42" s="130">
        <f>+K41+K36</f>
        <v>1960620342.45</v>
      </c>
      <c r="N42" s="130"/>
    </row>
  </sheetData>
  <mergeCells count="1">
    <mergeCell ref="J1:K1"/>
  </mergeCells>
  <conditionalFormatting sqref="P12:P40">
    <cfRule type="cellIs" dxfId="59" priority="3" operator="greaterThan">
      <formula>0</formula>
    </cfRule>
  </conditionalFormatting>
  <conditionalFormatting sqref="P12:Q40">
    <cfRule type="cellIs" dxfId="5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45E7-B644-4AA4-9DC1-31D6B31E1736}">
  <sheetPr codeName="Hoja1">
    <pageSetUpPr fitToPage="1"/>
  </sheetPr>
  <dimension ref="A2:BD465"/>
  <sheetViews>
    <sheetView tabSelected="1" topLeftCell="A449" zoomScale="85" zoomScaleNormal="85" workbookViewId="0">
      <selection activeCell="I454" sqref="I454"/>
    </sheetView>
  </sheetViews>
  <sheetFormatPr baseColWidth="10" defaultColWidth="11.42578125" defaultRowHeight="12" x14ac:dyDescent="0.2"/>
  <cols>
    <col min="1" max="1" width="6.85546875" style="146" customWidth="1"/>
    <col min="2" max="2" width="17.5703125" style="36" customWidth="1"/>
    <col min="3" max="3" width="16.85546875" style="36" customWidth="1"/>
    <col min="4" max="4" width="20.28515625" style="36" customWidth="1"/>
    <col min="5" max="5" width="13" style="36" customWidth="1"/>
    <col min="6" max="6" width="14.5703125" style="248" hidden="1" customWidth="1"/>
    <col min="7" max="7" width="11.7109375" style="248" hidden="1" customWidth="1"/>
    <col min="8" max="8" width="16.85546875" style="36" customWidth="1"/>
    <col min="9" max="9" width="13" style="36" customWidth="1"/>
    <col min="10" max="10" width="13.85546875" style="36" hidden="1" customWidth="1"/>
    <col min="11" max="11" width="10.42578125" style="36" hidden="1" customWidth="1"/>
    <col min="12" max="12" width="14.85546875" style="36" customWidth="1"/>
    <col min="13" max="13" width="9.85546875" style="36" customWidth="1"/>
    <col min="14" max="14" width="10.7109375" style="36" customWidth="1"/>
    <col min="15" max="15" width="14.85546875" style="36" customWidth="1"/>
    <col min="16" max="16" width="12.28515625" style="36" customWidth="1"/>
    <col min="17" max="17" width="18.42578125" style="36" customWidth="1"/>
    <col min="18" max="19" width="13.7109375" style="36" customWidth="1"/>
    <col min="20" max="20" width="17" style="146" bestFit="1" customWidth="1"/>
    <col min="21" max="21" width="11.5703125" style="36" customWidth="1"/>
    <col min="22" max="22" width="15.140625" style="36" customWidth="1"/>
    <col min="23" max="23" width="16.28515625" style="248" hidden="1" customWidth="1"/>
    <col min="24" max="24" width="8.140625" style="248" hidden="1" customWidth="1"/>
    <col min="25" max="25" width="15" style="248" hidden="1" customWidth="1"/>
    <col min="26" max="26" width="18.140625" style="248" hidden="1" customWidth="1"/>
    <col min="27" max="27" width="17" style="432" hidden="1" customWidth="1"/>
    <col min="28" max="28" width="10.5703125" style="146" customWidth="1"/>
    <col min="29" max="29" width="15.5703125" style="146" customWidth="1"/>
    <col min="30" max="31" width="9.28515625" style="146" customWidth="1"/>
    <col min="32" max="32" width="11.42578125" style="337"/>
    <col min="33" max="33" width="13.85546875" style="337" customWidth="1"/>
    <col min="34" max="34" width="52.5703125" style="36" customWidth="1"/>
    <col min="35" max="36" width="13" style="36" customWidth="1"/>
    <col min="37" max="37" width="11.5703125" style="36" customWidth="1"/>
    <col min="38" max="38" width="11.42578125" style="36" customWidth="1"/>
    <col min="39" max="39" width="12.7109375" style="36" customWidth="1"/>
    <col min="40" max="40" width="16.7109375" style="36" customWidth="1"/>
    <col min="41" max="41" width="16.42578125" style="36" customWidth="1"/>
    <col min="42" max="43" width="11.42578125" style="36" customWidth="1"/>
    <col min="44" max="44" width="20.5703125" style="36" customWidth="1"/>
    <col min="45" max="45" width="11.42578125" style="36" customWidth="1"/>
    <col min="46" max="46" width="19.28515625" style="36" customWidth="1"/>
    <col min="47" max="47" width="11.42578125" style="36" customWidth="1"/>
    <col min="48" max="48" width="26.85546875" style="36" customWidth="1"/>
    <col min="49" max="49" width="17.7109375" style="36" customWidth="1"/>
    <col min="50" max="50" width="11.7109375" style="36" customWidth="1"/>
    <col min="51" max="52" width="11.28515625" style="36" customWidth="1"/>
    <col min="53" max="53" width="12.140625" style="36" customWidth="1"/>
    <col min="54" max="54" width="8.85546875" style="36" customWidth="1"/>
    <col min="55" max="55" width="10.85546875" style="36" customWidth="1"/>
    <col min="56" max="56" width="15.5703125" style="36" customWidth="1"/>
    <col min="57" max="16384" width="11.42578125" style="36"/>
  </cols>
  <sheetData>
    <row r="2" spans="1:56" s="35" customFormat="1" ht="5.25" hidden="1" customHeight="1" x14ac:dyDescent="0.25">
      <c r="A2" s="337"/>
      <c r="F2" s="247"/>
      <c r="G2" s="247"/>
      <c r="J2" s="319"/>
      <c r="L2" s="319"/>
      <c r="M2" s="319"/>
      <c r="N2" s="319"/>
      <c r="O2" s="319"/>
      <c r="P2" s="319"/>
      <c r="Q2" s="319"/>
      <c r="R2" s="319"/>
      <c r="S2" s="319"/>
      <c r="T2" s="319"/>
      <c r="U2" s="319"/>
      <c r="V2" s="319"/>
      <c r="W2" s="320"/>
      <c r="X2" s="320"/>
      <c r="Y2" s="320"/>
      <c r="Z2" s="320"/>
      <c r="AA2" s="320"/>
      <c r="AB2" s="319"/>
      <c r="AC2" s="321"/>
      <c r="AD2" s="319"/>
      <c r="AE2" s="319"/>
      <c r="AF2" s="319"/>
      <c r="AG2" s="319"/>
      <c r="AH2" s="319"/>
    </row>
    <row r="3" spans="1:56" s="35" customFormat="1" ht="7.5" hidden="1" customHeight="1" x14ac:dyDescent="0.25">
      <c r="A3" s="337"/>
      <c r="F3" s="247"/>
      <c r="G3" s="247"/>
      <c r="J3" s="319"/>
      <c r="L3" s="319"/>
      <c r="M3" s="319"/>
      <c r="N3" s="319"/>
      <c r="O3" s="321"/>
      <c r="P3" s="321"/>
      <c r="Q3" s="321"/>
      <c r="R3" s="321"/>
      <c r="S3" s="321"/>
      <c r="T3" s="321"/>
      <c r="U3" s="319"/>
      <c r="V3" s="319"/>
      <c r="W3" s="320"/>
      <c r="X3" s="320"/>
      <c r="Y3" s="320"/>
      <c r="Z3" s="320"/>
      <c r="AA3" s="322"/>
      <c r="AB3" s="321"/>
      <c r="AC3" s="321"/>
      <c r="AD3" s="321"/>
      <c r="AE3" s="321"/>
      <c r="AF3" s="321"/>
      <c r="AG3" s="319"/>
      <c r="AH3" s="319"/>
    </row>
    <row r="4" spans="1:56" s="35" customFormat="1" ht="7.5" hidden="1" customHeight="1" x14ac:dyDescent="0.25">
      <c r="A4" s="337"/>
      <c r="F4" s="247"/>
      <c r="G4" s="247"/>
      <c r="J4" s="319"/>
      <c r="L4" s="319"/>
      <c r="M4" s="319"/>
      <c r="N4" s="319"/>
      <c r="O4" s="321"/>
      <c r="P4" s="321"/>
      <c r="Q4" s="321"/>
      <c r="R4" s="321"/>
      <c r="S4" s="321"/>
      <c r="T4" s="321"/>
      <c r="U4" s="319"/>
      <c r="V4" s="319"/>
      <c r="W4" s="320"/>
      <c r="X4" s="320"/>
      <c r="Y4" s="320"/>
      <c r="Z4" s="320"/>
      <c r="AA4" s="322"/>
      <c r="AB4" s="321"/>
      <c r="AC4" s="321"/>
      <c r="AD4" s="321"/>
      <c r="AE4" s="321"/>
      <c r="AF4" s="321"/>
      <c r="AG4" s="319"/>
      <c r="AH4" s="319"/>
    </row>
    <row r="5" spans="1:56" s="247" customFormat="1" ht="7.5" hidden="1" customHeight="1" x14ac:dyDescent="0.25">
      <c r="A5" s="337"/>
      <c r="J5" s="320"/>
      <c r="L5" s="320"/>
      <c r="M5" s="320"/>
      <c r="N5" s="320"/>
      <c r="O5" s="322"/>
      <c r="P5" s="322"/>
      <c r="Q5" s="322"/>
      <c r="R5" s="322"/>
      <c r="S5" s="322"/>
      <c r="T5" s="322"/>
      <c r="U5" s="320"/>
      <c r="V5" s="320"/>
      <c r="W5" s="320"/>
      <c r="X5" s="320"/>
      <c r="Y5" s="320"/>
      <c r="Z5" s="320"/>
      <c r="AA5" s="322"/>
      <c r="AB5" s="322"/>
      <c r="AC5" s="322"/>
      <c r="AD5" s="322"/>
      <c r="AE5" s="322"/>
      <c r="AF5" s="322"/>
      <c r="AG5" s="320"/>
      <c r="AH5" s="320"/>
    </row>
    <row r="6" spans="1:56" s="247" customFormat="1" ht="7.5" hidden="1" customHeight="1" x14ac:dyDescent="0.25">
      <c r="A6" s="337"/>
      <c r="J6" s="320"/>
      <c r="L6" s="320"/>
      <c r="M6" s="320"/>
      <c r="N6" s="320"/>
      <c r="O6" s="322"/>
      <c r="P6" s="322"/>
      <c r="Q6" s="322"/>
      <c r="R6" s="322"/>
      <c r="S6" s="322"/>
      <c r="T6" s="322"/>
      <c r="U6" s="320"/>
      <c r="V6" s="320"/>
      <c r="W6" s="320"/>
      <c r="X6" s="320"/>
      <c r="Y6" s="320"/>
      <c r="Z6" s="320"/>
      <c r="AA6" s="322"/>
      <c r="AB6" s="322"/>
      <c r="AC6" s="322"/>
      <c r="AD6" s="322"/>
      <c r="AE6" s="322"/>
      <c r="AF6" s="322"/>
      <c r="AG6" s="320"/>
      <c r="AH6" s="320"/>
    </row>
    <row r="7" spans="1:56" s="247" customFormat="1" ht="7.5" hidden="1" customHeight="1" x14ac:dyDescent="0.25">
      <c r="A7" s="337"/>
      <c r="J7" s="320"/>
      <c r="L7" s="320"/>
      <c r="M7" s="320"/>
      <c r="N7" s="320"/>
      <c r="O7" s="322"/>
      <c r="P7" s="322"/>
      <c r="Q7" s="322"/>
      <c r="R7" s="322"/>
      <c r="S7" s="322"/>
      <c r="T7" s="322"/>
      <c r="U7" s="320"/>
      <c r="V7" s="320"/>
      <c r="W7" s="320"/>
      <c r="X7" s="320"/>
      <c r="Y7" s="320"/>
      <c r="Z7" s="320"/>
      <c r="AA7" s="322"/>
      <c r="AB7" s="322"/>
      <c r="AC7" s="322"/>
      <c r="AD7" s="322"/>
      <c r="AE7" s="322"/>
      <c r="AF7" s="322"/>
      <c r="AG7" s="320"/>
      <c r="AH7" s="320"/>
    </row>
    <row r="8" spans="1:56" s="247" customFormat="1" ht="7.5" hidden="1" customHeight="1" x14ac:dyDescent="0.25">
      <c r="A8" s="337"/>
      <c r="J8" s="320"/>
      <c r="L8" s="320"/>
      <c r="M8" s="320"/>
      <c r="N8" s="320"/>
      <c r="O8" s="322"/>
      <c r="P8" s="322"/>
      <c r="Q8" s="322"/>
      <c r="R8" s="322"/>
      <c r="S8" s="322"/>
      <c r="T8" s="322"/>
      <c r="U8" s="320"/>
      <c r="V8" s="320"/>
      <c r="W8" s="320"/>
      <c r="X8" s="320"/>
      <c r="Y8" s="320"/>
      <c r="Z8" s="320"/>
      <c r="AA8" s="322"/>
      <c r="AB8" s="322"/>
      <c r="AC8" s="322"/>
      <c r="AD8" s="322"/>
      <c r="AE8" s="322"/>
      <c r="AF8" s="322"/>
      <c r="AG8" s="320"/>
      <c r="AH8" s="320"/>
    </row>
    <row r="9" spans="1:56" s="247" customFormat="1" ht="7.5" hidden="1" customHeight="1" x14ac:dyDescent="0.25">
      <c r="A9" s="337"/>
      <c r="B9" s="487">
        <v>2024</v>
      </c>
      <c r="C9" s="323">
        <v>4788391358</v>
      </c>
      <c r="E9" s="487" t="s">
        <v>508</v>
      </c>
      <c r="F9" s="323">
        <v>3912908522</v>
      </c>
      <c r="H9" s="323"/>
      <c r="J9" s="320"/>
      <c r="K9" s="324">
        <f>+K10/(1160000)</f>
        <v>0.39172567049808427</v>
      </c>
      <c r="L9" s="320"/>
      <c r="M9" s="324">
        <f>+M10/(1160000*1.05)</f>
        <v>0.52453932640029199</v>
      </c>
      <c r="N9" s="320"/>
      <c r="O9" s="322"/>
      <c r="P9" s="322"/>
      <c r="Q9" s="322"/>
      <c r="R9" s="322"/>
      <c r="S9" s="322"/>
      <c r="T9" s="322"/>
      <c r="U9" s="320"/>
      <c r="V9" s="320"/>
      <c r="W9" s="320"/>
      <c r="X9" s="320"/>
      <c r="Y9" s="320"/>
      <c r="Z9" s="320"/>
      <c r="AA9" s="322"/>
      <c r="AB9" s="322"/>
      <c r="AC9" s="322"/>
      <c r="AD9" s="322"/>
      <c r="AE9" s="322"/>
      <c r="AF9" s="322"/>
      <c r="AG9" s="320"/>
      <c r="AH9" s="320"/>
    </row>
    <row r="10" spans="1:56" s="247" customFormat="1" ht="7.5" hidden="1" customHeight="1" x14ac:dyDescent="0.25">
      <c r="A10" s="337"/>
      <c r="B10" s="487"/>
      <c r="C10" s="323">
        <v>1907917279</v>
      </c>
      <c r="E10" s="487"/>
      <c r="F10" s="323">
        <v>1619367089</v>
      </c>
      <c r="J10" s="323"/>
      <c r="K10" s="323">
        <f>+J16/9</f>
        <v>454401.77777777775</v>
      </c>
      <c r="L10" s="320"/>
      <c r="M10" s="323">
        <f>+L16/9</f>
        <v>638888.89955555566</v>
      </c>
      <c r="N10" s="320"/>
      <c r="O10" s="322"/>
      <c r="P10" s="322"/>
      <c r="Q10" s="325">
        <f>SUBTOTAL(9,Q15:Q115)</f>
        <v>5530573937.2683954</v>
      </c>
      <c r="R10" s="322"/>
      <c r="S10" s="322"/>
      <c r="T10" s="322"/>
      <c r="U10" s="320"/>
      <c r="V10" s="325">
        <v>7567007783.732625</v>
      </c>
      <c r="W10" s="325"/>
      <c r="X10" s="325"/>
      <c r="Y10" s="326"/>
      <c r="Z10" s="320"/>
      <c r="AA10" s="322"/>
      <c r="AB10" s="322"/>
      <c r="AC10" s="322"/>
      <c r="AD10" s="322"/>
      <c r="AE10" s="322"/>
      <c r="AF10" s="322"/>
      <c r="AG10" s="320"/>
      <c r="AH10" s="320"/>
    </row>
    <row r="11" spans="1:56" s="248" customFormat="1" ht="7.5" hidden="1" customHeight="1" x14ac:dyDescent="0.2">
      <c r="A11" s="337"/>
      <c r="B11" s="487"/>
      <c r="C11" s="327">
        <f>SUBTOTAL(9,C9:C10)</f>
        <v>6696308637</v>
      </c>
      <c r="D11" s="247"/>
      <c r="E11" s="487"/>
      <c r="F11" s="327">
        <f>SUBTOTAL(9,F9:F10)</f>
        <v>5532275611</v>
      </c>
      <c r="G11" s="247"/>
      <c r="H11" s="247"/>
      <c r="I11" s="247"/>
      <c r="J11" s="247"/>
      <c r="K11" s="247"/>
      <c r="L11" s="247"/>
      <c r="M11" s="247"/>
      <c r="N11" s="247"/>
      <c r="U11" s="247"/>
      <c r="V11" s="328">
        <f>SUBTOTAL(9,V16:V1056)</f>
        <v>9746108587.9350567</v>
      </c>
      <c r="W11" s="328">
        <f>SUBTOTAL(9,W16:W1056)</f>
        <v>451722621123.68286</v>
      </c>
      <c r="X11" s="328"/>
      <c r="Y11" s="328"/>
      <c r="Z11" s="247"/>
      <c r="AA11" s="329"/>
      <c r="AB11" s="329"/>
      <c r="AC11" s="329"/>
      <c r="AD11" s="329"/>
      <c r="AE11" s="329"/>
      <c r="AG11" s="330"/>
      <c r="AH11" s="331"/>
      <c r="AI11" s="331"/>
      <c r="AJ11" s="331"/>
      <c r="AK11" s="331"/>
      <c r="AL11" s="331"/>
      <c r="AM11" s="331"/>
      <c r="AN11" s="331"/>
      <c r="AO11" s="331"/>
      <c r="AP11" s="331"/>
      <c r="AQ11" s="331"/>
      <c r="AR11" s="331"/>
      <c r="AS11" s="331"/>
      <c r="AT11" s="331"/>
      <c r="AU11" s="331"/>
      <c r="AV11" s="331"/>
      <c r="AW11" s="331"/>
      <c r="AX11" s="331"/>
    </row>
    <row r="12" spans="1:56" s="248" customFormat="1" ht="7.5" hidden="1" customHeight="1" x14ac:dyDescent="0.2">
      <c r="A12" s="337"/>
      <c r="B12" s="332"/>
      <c r="C12" s="327"/>
      <c r="D12" s="247"/>
      <c r="E12" s="332"/>
      <c r="F12" s="327"/>
      <c r="G12" s="247"/>
      <c r="H12" s="247"/>
      <c r="I12" s="247"/>
      <c r="J12" s="247"/>
      <c r="K12" s="247"/>
      <c r="L12" s="247"/>
      <c r="M12" s="247"/>
      <c r="N12" s="247"/>
      <c r="O12" s="330"/>
      <c r="P12" s="330"/>
      <c r="Q12" s="330"/>
      <c r="R12" s="330"/>
      <c r="S12" s="330"/>
      <c r="T12" s="330"/>
      <c r="U12" s="247"/>
      <c r="V12" s="328"/>
      <c r="W12" s="328"/>
      <c r="X12" s="328"/>
      <c r="Y12" s="328"/>
      <c r="Z12" s="247"/>
      <c r="AA12" s="329"/>
      <c r="AB12" s="329"/>
      <c r="AC12" s="329"/>
      <c r="AD12" s="329"/>
      <c r="AE12" s="329"/>
      <c r="AF12" s="331"/>
      <c r="AG12" s="330"/>
      <c r="AH12" s="331"/>
      <c r="AI12" s="331"/>
      <c r="AJ12" s="331"/>
      <c r="AK12" s="331"/>
      <c r="AL12" s="331"/>
      <c r="AM12" s="331"/>
      <c r="AN12" s="331"/>
      <c r="AO12" s="331"/>
      <c r="AP12" s="331"/>
      <c r="AQ12" s="331"/>
      <c r="AR12" s="331"/>
      <c r="AS12" s="331"/>
      <c r="AT12" s="331"/>
      <c r="AU12" s="331"/>
      <c r="AV12" s="331"/>
      <c r="AW12" s="331"/>
      <c r="AX12" s="331"/>
      <c r="AY12" s="332"/>
      <c r="AZ12" s="332"/>
      <c r="BA12" s="332"/>
      <c r="BB12" s="332"/>
      <c r="BC12" s="332"/>
      <c r="BD12" s="332"/>
    </row>
    <row r="13" spans="1:56" s="248" customFormat="1" ht="7.5" hidden="1" customHeight="1" x14ac:dyDescent="0.2">
      <c r="A13" s="337"/>
      <c r="B13" s="332"/>
      <c r="C13" s="327"/>
      <c r="D13" s="247"/>
      <c r="E13" s="332"/>
      <c r="F13" s="327"/>
      <c r="G13" s="247"/>
      <c r="H13" s="247"/>
      <c r="I13" s="247"/>
      <c r="J13" s="247"/>
      <c r="K13" s="247"/>
      <c r="L13" s="247"/>
      <c r="M13" s="247"/>
      <c r="N13" s="247"/>
      <c r="O13" s="330"/>
      <c r="P13" s="330"/>
      <c r="Q13" s="330"/>
      <c r="R13" s="330"/>
      <c r="S13" s="330"/>
      <c r="T13" s="330"/>
      <c r="U13" s="247"/>
      <c r="V13" s="328"/>
      <c r="W13" s="328"/>
      <c r="X13" s="328"/>
      <c r="Y13" s="328"/>
      <c r="Z13" s="247"/>
      <c r="AA13" s="329"/>
      <c r="AB13" s="329"/>
      <c r="AC13" s="329"/>
      <c r="AD13" s="329"/>
      <c r="AE13" s="329"/>
      <c r="AF13" s="331"/>
      <c r="AG13" s="330"/>
      <c r="AH13" s="331"/>
      <c r="AI13" s="331"/>
      <c r="AJ13" s="331"/>
      <c r="AK13" s="331"/>
      <c r="AL13" s="331"/>
      <c r="AM13" s="331"/>
      <c r="AN13" s="331"/>
      <c r="AO13" s="331"/>
      <c r="AP13" s="331"/>
      <c r="AQ13" s="331"/>
      <c r="AR13" s="331"/>
      <c r="AS13" s="331"/>
      <c r="AT13" s="331"/>
      <c r="AU13" s="331"/>
      <c r="AV13" s="331"/>
      <c r="AW13" s="331"/>
      <c r="AX13" s="331"/>
      <c r="AY13" s="332"/>
      <c r="AZ13" s="332"/>
      <c r="BA13" s="332"/>
      <c r="BB13" s="487" t="s">
        <v>214</v>
      </c>
      <c r="BC13" s="487"/>
      <c r="BD13" s="487"/>
    </row>
    <row r="14" spans="1:56" ht="12" hidden="1" customHeight="1" x14ac:dyDescent="0.2">
      <c r="A14" s="337"/>
      <c r="B14" s="333"/>
      <c r="C14" s="334"/>
      <c r="D14" s="35"/>
      <c r="E14" s="333"/>
      <c r="F14" s="327"/>
      <c r="G14" s="247"/>
      <c r="H14" s="35"/>
      <c r="I14" s="35"/>
      <c r="J14" s="35"/>
      <c r="K14" s="35"/>
      <c r="L14" s="35"/>
      <c r="M14" s="35"/>
      <c r="N14" s="35"/>
      <c r="O14" s="488" t="s">
        <v>50</v>
      </c>
      <c r="P14" s="489"/>
      <c r="Q14" s="490"/>
      <c r="R14" s="488" t="s">
        <v>51</v>
      </c>
      <c r="S14" s="489"/>
      <c r="T14" s="490"/>
      <c r="U14" s="35"/>
      <c r="V14" s="335"/>
      <c r="W14" s="336"/>
      <c r="X14" s="328"/>
      <c r="Y14" s="328"/>
      <c r="Z14" s="247"/>
      <c r="AA14" s="329"/>
      <c r="AB14" s="337"/>
      <c r="AC14" s="337"/>
      <c r="AD14" s="337"/>
      <c r="AE14" s="337"/>
      <c r="AF14" s="338" t="s">
        <v>212</v>
      </c>
      <c r="AG14" s="339"/>
      <c r="AH14" s="339"/>
      <c r="AI14" s="339"/>
      <c r="AJ14" s="339"/>
      <c r="AK14" s="339"/>
      <c r="AL14" s="339"/>
      <c r="AM14" s="339"/>
      <c r="AN14" s="339"/>
      <c r="AO14" s="339"/>
      <c r="AP14" s="339"/>
      <c r="AQ14" s="339"/>
      <c r="AR14" s="339"/>
      <c r="AS14" s="339"/>
      <c r="AT14" s="339"/>
      <c r="AU14" s="339"/>
      <c r="AV14" s="339"/>
      <c r="AW14" s="339"/>
      <c r="AX14" s="340"/>
      <c r="AY14" s="491" t="s">
        <v>213</v>
      </c>
      <c r="AZ14" s="491"/>
      <c r="BA14" s="492"/>
      <c r="BB14" s="341"/>
      <c r="BC14" s="341"/>
      <c r="BD14" s="341"/>
    </row>
    <row r="15" spans="1:56" s="255" customFormat="1" ht="108.75" customHeight="1" x14ac:dyDescent="0.2">
      <c r="A15" s="342" t="s">
        <v>353</v>
      </c>
      <c r="B15" s="342" t="s">
        <v>52</v>
      </c>
      <c r="C15" s="342" t="s">
        <v>53</v>
      </c>
      <c r="D15" s="342" t="s">
        <v>54</v>
      </c>
      <c r="E15" s="342" t="s">
        <v>55</v>
      </c>
      <c r="F15" s="343" t="s">
        <v>476</v>
      </c>
      <c r="G15" s="343" t="s">
        <v>349</v>
      </c>
      <c r="H15" s="342" t="s">
        <v>350</v>
      </c>
      <c r="I15" s="342" t="s">
        <v>351</v>
      </c>
      <c r="J15" s="344" t="s">
        <v>649</v>
      </c>
      <c r="K15" s="344" t="s">
        <v>477</v>
      </c>
      <c r="L15" s="342" t="s">
        <v>352</v>
      </c>
      <c r="M15" s="342" t="s">
        <v>478</v>
      </c>
      <c r="N15" s="342" t="s">
        <v>484</v>
      </c>
      <c r="O15" s="342" t="s">
        <v>56</v>
      </c>
      <c r="P15" s="342" t="s">
        <v>57</v>
      </c>
      <c r="Q15" s="342" t="s">
        <v>58</v>
      </c>
      <c r="R15" s="342" t="s">
        <v>59</v>
      </c>
      <c r="S15" s="342" t="s">
        <v>60</v>
      </c>
      <c r="T15" s="342" t="s">
        <v>61</v>
      </c>
      <c r="U15" s="342" t="s">
        <v>358</v>
      </c>
      <c r="V15" s="342" t="s">
        <v>62</v>
      </c>
      <c r="W15" s="343">
        <v>2023</v>
      </c>
      <c r="X15" s="343" t="s">
        <v>477</v>
      </c>
      <c r="Y15" s="343" t="s">
        <v>398</v>
      </c>
      <c r="Z15" s="343" t="s">
        <v>357</v>
      </c>
      <c r="AA15" s="343" t="s">
        <v>354</v>
      </c>
      <c r="AB15" s="342" t="s">
        <v>223</v>
      </c>
      <c r="AC15" s="342" t="s">
        <v>355</v>
      </c>
      <c r="AD15" s="345" t="s">
        <v>360</v>
      </c>
      <c r="AE15" s="345" t="s">
        <v>363</v>
      </c>
      <c r="AF15" s="346" t="s">
        <v>215</v>
      </c>
      <c r="AG15" s="343" t="s">
        <v>216</v>
      </c>
      <c r="AH15" s="343" t="s">
        <v>217</v>
      </c>
      <c r="AI15" s="343" t="s">
        <v>218</v>
      </c>
      <c r="AJ15" s="343" t="s">
        <v>219</v>
      </c>
      <c r="AK15" s="343" t="s">
        <v>220</v>
      </c>
      <c r="AL15" s="343" t="s">
        <v>221</v>
      </c>
      <c r="AM15" s="343" t="s">
        <v>222</v>
      </c>
      <c r="AN15" s="347" t="s">
        <v>224</v>
      </c>
      <c r="AO15" s="347" t="s">
        <v>225</v>
      </c>
      <c r="AP15" s="343" t="s">
        <v>226</v>
      </c>
      <c r="AQ15" s="343" t="s">
        <v>227</v>
      </c>
      <c r="AR15" s="343" t="s">
        <v>228</v>
      </c>
      <c r="AS15" s="343" t="s">
        <v>229</v>
      </c>
      <c r="AT15" s="343" t="s">
        <v>230</v>
      </c>
      <c r="AU15" s="343" t="s">
        <v>231</v>
      </c>
      <c r="AV15" s="343" t="s">
        <v>232</v>
      </c>
      <c r="AW15" s="348" t="s">
        <v>233</v>
      </c>
      <c r="AX15" s="343" t="s">
        <v>234</v>
      </c>
      <c r="AY15" s="349" t="s">
        <v>235</v>
      </c>
      <c r="AZ15" s="349" t="s">
        <v>236</v>
      </c>
      <c r="BA15" s="349" t="s">
        <v>237</v>
      </c>
      <c r="BB15" s="349" t="s">
        <v>235</v>
      </c>
      <c r="BC15" s="349" t="s">
        <v>238</v>
      </c>
      <c r="BD15" s="349" t="s">
        <v>239</v>
      </c>
    </row>
    <row r="16" spans="1:56" ht="45.75" customHeight="1" x14ac:dyDescent="0.2">
      <c r="A16" s="257" t="s">
        <v>240</v>
      </c>
      <c r="B16" s="299" t="s">
        <v>63</v>
      </c>
      <c r="C16" s="299" t="s">
        <v>65</v>
      </c>
      <c r="D16" s="299" t="s">
        <v>65</v>
      </c>
      <c r="E16" s="299" t="s">
        <v>0</v>
      </c>
      <c r="F16" s="350" t="s">
        <v>479</v>
      </c>
      <c r="G16" s="350" t="s">
        <v>64</v>
      </c>
      <c r="H16" s="299" t="s">
        <v>473</v>
      </c>
      <c r="I16" s="299"/>
      <c r="J16" s="251">
        <v>4089616</v>
      </c>
      <c r="K16" s="300">
        <v>0.40600000000000003</v>
      </c>
      <c r="L16" s="311">
        <f>+J16*(1+K16)</f>
        <v>5750000.0960000008</v>
      </c>
      <c r="M16" s="299">
        <v>1</v>
      </c>
      <c r="N16" s="299" t="s">
        <v>486</v>
      </c>
      <c r="O16" s="250">
        <v>45292</v>
      </c>
      <c r="P16" s="316">
        <v>45657</v>
      </c>
      <c r="Q16" s="312">
        <v>69000000</v>
      </c>
      <c r="R16" s="351"/>
      <c r="S16" s="250"/>
      <c r="T16" s="312">
        <f>IF($N16="MENSUAL",ROUND((((S16-R16))/30),0)*$L16,((S16-R16)/30)*$L16)</f>
        <v>0</v>
      </c>
      <c r="U16" s="318">
        <f>ROUND((((P16-O16)+(S16-R16))/30),0)</f>
        <v>12</v>
      </c>
      <c r="V16" s="352">
        <f>+Q16+T16</f>
        <v>69000000</v>
      </c>
      <c r="W16" s="313">
        <v>49102289.434799999</v>
      </c>
      <c r="X16" s="353">
        <f>IF(W16="",1,((V16/W16)-1))</f>
        <v>0.40522979262751035</v>
      </c>
      <c r="Y16" s="354"/>
      <c r="Z16" s="355" t="s">
        <v>19</v>
      </c>
      <c r="AA16" s="356">
        <f>+V16</f>
        <v>69000000</v>
      </c>
      <c r="AB16" s="270" t="s">
        <v>243</v>
      </c>
      <c r="AC16" s="393" t="s">
        <v>1</v>
      </c>
      <c r="AD16" s="358" t="s">
        <v>244</v>
      </c>
      <c r="AE16" s="358" t="s">
        <v>244</v>
      </c>
      <c r="AF16" s="359" t="str">
        <f t="shared" ref="AF16:AF49" si="0">"CON-"&amp;A16</f>
        <v>CON-001</v>
      </c>
      <c r="AG16" s="270">
        <v>80161500</v>
      </c>
      <c r="AH16" s="249" t="s">
        <v>674</v>
      </c>
      <c r="AI16" s="301">
        <f t="shared" ref="AI16:AI49" si="1">+O16</f>
        <v>45292</v>
      </c>
      <c r="AJ16" s="301">
        <f>+AI16</f>
        <v>45292</v>
      </c>
      <c r="AK16" s="302">
        <f t="shared" ref="AK16:AK49" si="2">+U16</f>
        <v>12</v>
      </c>
      <c r="AL16" s="303" t="s">
        <v>241</v>
      </c>
      <c r="AM16" s="304" t="s">
        <v>242</v>
      </c>
      <c r="AN16" s="305">
        <f>+V16</f>
        <v>69000000</v>
      </c>
      <c r="AO16" s="305">
        <f>+AN16</f>
        <v>69000000</v>
      </c>
      <c r="AP16" s="303" t="s">
        <v>244</v>
      </c>
      <c r="AQ16" s="303" t="s">
        <v>245</v>
      </c>
      <c r="AR16" s="360" t="s">
        <v>246</v>
      </c>
      <c r="AS16" s="306" t="s">
        <v>247</v>
      </c>
      <c r="AT16" s="307" t="str">
        <f t="shared" ref="AT16:AT49" si="3">D16</f>
        <v>RECTORÍA</v>
      </c>
      <c r="AU16" s="308" t="s">
        <v>248</v>
      </c>
      <c r="AV16" s="361" t="s">
        <v>249</v>
      </c>
      <c r="AW16" s="303" t="s">
        <v>244</v>
      </c>
      <c r="AX16" s="303" t="s">
        <v>244</v>
      </c>
      <c r="AY16" s="362" t="s">
        <v>250</v>
      </c>
      <c r="AZ16" s="363" t="s">
        <v>251</v>
      </c>
      <c r="BA16" s="363" t="s">
        <v>252</v>
      </c>
      <c r="BB16" s="363" t="s">
        <v>250</v>
      </c>
      <c r="BC16" s="363"/>
      <c r="BD16" s="363"/>
    </row>
    <row r="17" spans="1:56" ht="56.25" x14ac:dyDescent="0.2">
      <c r="A17" s="257" t="s">
        <v>627</v>
      </c>
      <c r="B17" s="299" t="s">
        <v>63</v>
      </c>
      <c r="C17" s="299" t="s">
        <v>25</v>
      </c>
      <c r="D17" s="299" t="s">
        <v>138</v>
      </c>
      <c r="E17" s="45" t="s">
        <v>66</v>
      </c>
      <c r="F17" s="45" t="s">
        <v>72</v>
      </c>
      <c r="G17" s="45" t="s">
        <v>374</v>
      </c>
      <c r="H17" s="45" t="s">
        <v>471</v>
      </c>
      <c r="I17" s="45">
        <v>2</v>
      </c>
      <c r="J17" s="95">
        <v>7000000</v>
      </c>
      <c r="K17" s="172">
        <f t="shared" ref="K17" si="4">IF(J17="",1,((L17/J17)-1))</f>
        <v>5.7142857142857162E-2</v>
      </c>
      <c r="L17" s="364">
        <f>IF(H17="OTRO",(J17*1.05),VLOOKUP((I17&amp;H17),'[1]ESCALAS Salarios'!$D$2:$F$30,3,0))</f>
        <v>7400000</v>
      </c>
      <c r="M17" s="45">
        <v>1</v>
      </c>
      <c r="N17" s="45" t="s">
        <v>486</v>
      </c>
      <c r="O17" s="97">
        <v>45327</v>
      </c>
      <c r="P17" s="316">
        <v>45646</v>
      </c>
      <c r="Q17" s="201">
        <f t="shared" ref="Q17" si="5">IF($N17="MENSUAL",ROUND((((P17-O17))/30),0)*$L17*$M17,((P17-O17)/30)*$L17*$M17)</f>
        <v>81400000</v>
      </c>
      <c r="R17" s="139"/>
      <c r="S17" s="97"/>
      <c r="T17" s="201">
        <f t="shared" ref="T17" si="6">IF($N17="MENSUAL",ROUND((((S17-R17))/30),0)*$L17,((S17-R17)/30)*$L17)</f>
        <v>0</v>
      </c>
      <c r="U17" s="365">
        <f t="shared" ref="U17" si="7">ROUND((((P17-O17)+(S17-R17))/30),0)</f>
        <v>11</v>
      </c>
      <c r="V17" s="217">
        <f t="shared" ref="V17" si="8">+Q17+T17</f>
        <v>81400000</v>
      </c>
      <c r="W17" s="217"/>
      <c r="X17" s="366">
        <f t="shared" ref="X17" si="9">IF(W17="",1,((V17/W17)-1))</f>
        <v>1</v>
      </c>
      <c r="Y17" s="133"/>
      <c r="Z17" s="134" t="s">
        <v>511</v>
      </c>
      <c r="AA17" s="356">
        <f t="shared" ref="AA17" si="10">+V17</f>
        <v>81400000</v>
      </c>
      <c r="AB17" s="270" t="s">
        <v>243</v>
      </c>
      <c r="AC17" s="476" t="s">
        <v>1</v>
      </c>
      <c r="AD17" s="367" t="s">
        <v>361</v>
      </c>
      <c r="AE17" s="367" t="s">
        <v>244</v>
      </c>
      <c r="AF17" s="359" t="str">
        <f t="shared" si="0"/>
        <v>CON-004</v>
      </c>
      <c r="AG17" s="151">
        <v>80111600</v>
      </c>
      <c r="AH17" s="46" t="s">
        <v>684</v>
      </c>
      <c r="AI17" s="47">
        <f t="shared" si="1"/>
        <v>45327</v>
      </c>
      <c r="AJ17" s="47">
        <f t="shared" ref="AJ17" si="11">+AI17</f>
        <v>45327</v>
      </c>
      <c r="AK17" s="233">
        <f t="shared" si="2"/>
        <v>11</v>
      </c>
      <c r="AL17" s="48" t="s">
        <v>241</v>
      </c>
      <c r="AM17" s="49" t="s">
        <v>242</v>
      </c>
      <c r="AN17" s="50">
        <f t="shared" ref="AN17:AN49" si="12">+V17</f>
        <v>81400000</v>
      </c>
      <c r="AO17" s="50">
        <f t="shared" ref="AO17" si="13">+AN17</f>
        <v>81400000</v>
      </c>
      <c r="AP17" s="48" t="s">
        <v>244</v>
      </c>
      <c r="AQ17" s="48" t="s">
        <v>245</v>
      </c>
      <c r="AR17" s="368" t="s">
        <v>246</v>
      </c>
      <c r="AS17" s="52" t="s">
        <v>247</v>
      </c>
      <c r="AT17" s="53" t="str">
        <f t="shared" si="3"/>
        <v>SUBDIRECCIÓN DE PERSONAL</v>
      </c>
      <c r="AU17" s="54" t="s">
        <v>248</v>
      </c>
      <c r="AV17" s="369" t="s">
        <v>249</v>
      </c>
      <c r="AW17" s="48" t="s">
        <v>244</v>
      </c>
      <c r="AX17" s="48" t="s">
        <v>244</v>
      </c>
      <c r="AY17" s="370" t="s">
        <v>250</v>
      </c>
      <c r="AZ17" s="371" t="s">
        <v>251</v>
      </c>
      <c r="BA17" s="371" t="s">
        <v>252</v>
      </c>
      <c r="BB17" s="371" t="s">
        <v>250</v>
      </c>
      <c r="BC17" s="371"/>
      <c r="BD17" s="371"/>
    </row>
    <row r="18" spans="1:56" ht="58.5" customHeight="1" x14ac:dyDescent="0.2">
      <c r="A18" s="257" t="s">
        <v>256</v>
      </c>
      <c r="B18" s="299" t="s">
        <v>63</v>
      </c>
      <c r="C18" s="299" t="s">
        <v>65</v>
      </c>
      <c r="D18" s="299" t="s">
        <v>68</v>
      </c>
      <c r="E18" s="299"/>
      <c r="F18" s="350" t="s">
        <v>383</v>
      </c>
      <c r="G18" s="350" t="s">
        <v>374</v>
      </c>
      <c r="H18" s="299" t="s">
        <v>69</v>
      </c>
      <c r="I18" s="299">
        <v>6</v>
      </c>
      <c r="J18" s="251">
        <v>4200000</v>
      </c>
      <c r="K18" s="300">
        <f t="shared" ref="K18:K64" si="14">IF(J18="",1,((L18/J18)-1))</f>
        <v>4.7619047619047672E-2</v>
      </c>
      <c r="L18" s="311">
        <f>IF(H18="OTRO",(J18*1.05),VLOOKUP((I18&amp;H18),'ESCALAS Salarios'!$D$2:$F$30,3,0))</f>
        <v>4400000</v>
      </c>
      <c r="M18" s="299">
        <v>1</v>
      </c>
      <c r="N18" s="299" t="s">
        <v>485</v>
      </c>
      <c r="O18" s="250">
        <v>45334</v>
      </c>
      <c r="P18" s="316">
        <v>45639</v>
      </c>
      <c r="Q18" s="312">
        <v>44733330</v>
      </c>
      <c r="R18" s="351"/>
      <c r="S18" s="250"/>
      <c r="T18" s="312">
        <f t="shared" ref="T18:T59" si="15">IF($N18="MENSUAL",ROUND((((S18-R18))/30),0)*$L18,((S18-R18)/30)*$L18)</f>
        <v>0</v>
      </c>
      <c r="U18" s="318">
        <f t="shared" ref="U18:U59" si="16">ROUND((((P18-O18)+(S18-R18))/30),0)</f>
        <v>10</v>
      </c>
      <c r="V18" s="352">
        <f t="shared" ref="V18:V59" si="17">+Q18+T18</f>
        <v>44733330</v>
      </c>
      <c r="W18" s="313">
        <v>42000000</v>
      </c>
      <c r="X18" s="353">
        <f t="shared" ref="X18:X59" si="18">IF(W18="",1,((V18/W18)-1))</f>
        <v>6.5079285714285673E-2</v>
      </c>
      <c r="Y18" s="372">
        <v>1023916277</v>
      </c>
      <c r="Z18" s="373" t="s">
        <v>400</v>
      </c>
      <c r="AA18" s="356">
        <f t="shared" ref="AA18:AA59" si="19">+V18</f>
        <v>44733330</v>
      </c>
      <c r="AB18" s="270" t="s">
        <v>243</v>
      </c>
      <c r="AC18" s="393" t="s">
        <v>1</v>
      </c>
      <c r="AD18" s="358" t="s">
        <v>361</v>
      </c>
      <c r="AE18" s="358" t="s">
        <v>244</v>
      </c>
      <c r="AF18" s="359" t="str">
        <f t="shared" si="0"/>
        <v>CON-006</v>
      </c>
      <c r="AG18" s="270">
        <v>80111600</v>
      </c>
      <c r="AH18" s="249" t="s">
        <v>146</v>
      </c>
      <c r="AI18" s="301">
        <f t="shared" si="1"/>
        <v>45334</v>
      </c>
      <c r="AJ18" s="301">
        <f t="shared" ref="AJ18:AJ65" si="20">+AI18</f>
        <v>45334</v>
      </c>
      <c r="AK18" s="302">
        <f t="shared" si="2"/>
        <v>10</v>
      </c>
      <c r="AL18" s="303" t="s">
        <v>241</v>
      </c>
      <c r="AM18" s="304" t="s">
        <v>242</v>
      </c>
      <c r="AN18" s="305">
        <f t="shared" si="12"/>
        <v>44733330</v>
      </c>
      <c r="AO18" s="305">
        <f t="shared" ref="AO18:AO65" si="21">+AN18</f>
        <v>44733330</v>
      </c>
      <c r="AP18" s="303" t="s">
        <v>244</v>
      </c>
      <c r="AQ18" s="303" t="s">
        <v>245</v>
      </c>
      <c r="AR18" s="360" t="s">
        <v>246</v>
      </c>
      <c r="AS18" s="306" t="s">
        <v>247</v>
      </c>
      <c r="AT18" s="307" t="str">
        <f t="shared" si="3"/>
        <v>OFICINA DE COMUNICACIONES</v>
      </c>
      <c r="AU18" s="308" t="s">
        <v>248</v>
      </c>
      <c r="AV18" s="361" t="s">
        <v>249</v>
      </c>
      <c r="AW18" s="303" t="s">
        <v>244</v>
      </c>
      <c r="AX18" s="303" t="s">
        <v>244</v>
      </c>
      <c r="AY18" s="362" t="s">
        <v>250</v>
      </c>
      <c r="AZ18" s="363" t="s">
        <v>251</v>
      </c>
      <c r="BA18" s="363" t="s">
        <v>252</v>
      </c>
      <c r="BB18" s="363" t="s">
        <v>250</v>
      </c>
      <c r="BC18" s="363"/>
      <c r="BD18" s="363"/>
    </row>
    <row r="19" spans="1:56" ht="59.25" customHeight="1" x14ac:dyDescent="0.2">
      <c r="A19" s="257" t="s">
        <v>257</v>
      </c>
      <c r="B19" s="299" t="s">
        <v>63</v>
      </c>
      <c r="C19" s="299" t="s">
        <v>65</v>
      </c>
      <c r="D19" s="299" t="s">
        <v>3</v>
      </c>
      <c r="E19" s="299"/>
      <c r="F19" s="350" t="s">
        <v>481</v>
      </c>
      <c r="G19" s="350" t="s">
        <v>374</v>
      </c>
      <c r="H19" s="299" t="s">
        <v>71</v>
      </c>
      <c r="I19" s="299">
        <v>5</v>
      </c>
      <c r="J19" s="251">
        <v>2000000</v>
      </c>
      <c r="K19" s="300">
        <f t="shared" si="14"/>
        <v>5.0000000000000044E-2</v>
      </c>
      <c r="L19" s="311">
        <f>IF(H19="OTRO",(J19*1.05),VLOOKUP((I19&amp;H19),'ESCALAS Salarios'!$D$2:$F$30,3,0))</f>
        <v>2100000</v>
      </c>
      <c r="M19" s="299">
        <v>1</v>
      </c>
      <c r="N19" s="299" t="s">
        <v>485</v>
      </c>
      <c r="O19" s="250">
        <v>45323</v>
      </c>
      <c r="P19" s="316">
        <v>45646</v>
      </c>
      <c r="Q19" s="312">
        <f t="shared" ref="Q19:Q58" si="22">IF($N19="MENSUAL",ROUND((((P19-O19))/30),0)*$L19*$M19,((P19-O19)/30)*$L19*$M19)</f>
        <v>22610000</v>
      </c>
      <c r="R19" s="351"/>
      <c r="S19" s="250"/>
      <c r="T19" s="312">
        <f t="shared" si="15"/>
        <v>0</v>
      </c>
      <c r="U19" s="318">
        <f t="shared" si="16"/>
        <v>11</v>
      </c>
      <c r="V19" s="352">
        <f t="shared" si="17"/>
        <v>22610000</v>
      </c>
      <c r="W19" s="313">
        <v>22000000</v>
      </c>
      <c r="X19" s="353">
        <f t="shared" si="18"/>
        <v>2.7727272727272823E-2</v>
      </c>
      <c r="Y19" s="372">
        <v>80177915</v>
      </c>
      <c r="Z19" s="373" t="s">
        <v>4</v>
      </c>
      <c r="AA19" s="356">
        <f t="shared" si="19"/>
        <v>22610000</v>
      </c>
      <c r="AB19" s="270" t="s">
        <v>243</v>
      </c>
      <c r="AC19" s="393" t="s">
        <v>1</v>
      </c>
      <c r="AD19" s="358" t="s">
        <v>361</v>
      </c>
      <c r="AE19" s="358" t="s">
        <v>244</v>
      </c>
      <c r="AF19" s="359" t="str">
        <f t="shared" si="0"/>
        <v>CON-007</v>
      </c>
      <c r="AG19" s="270">
        <v>80111600</v>
      </c>
      <c r="AH19" s="249" t="s">
        <v>147</v>
      </c>
      <c r="AI19" s="301">
        <f t="shared" si="1"/>
        <v>45323</v>
      </c>
      <c r="AJ19" s="301">
        <f t="shared" si="20"/>
        <v>45323</v>
      </c>
      <c r="AK19" s="302">
        <f t="shared" si="2"/>
        <v>11</v>
      </c>
      <c r="AL19" s="303" t="s">
        <v>241</v>
      </c>
      <c r="AM19" s="304" t="s">
        <v>242</v>
      </c>
      <c r="AN19" s="305">
        <f t="shared" si="12"/>
        <v>22610000</v>
      </c>
      <c r="AO19" s="305">
        <f t="shared" si="21"/>
        <v>22610000</v>
      </c>
      <c r="AP19" s="303" t="s">
        <v>244</v>
      </c>
      <c r="AQ19" s="303" t="s">
        <v>245</v>
      </c>
      <c r="AR19" s="360" t="s">
        <v>246</v>
      </c>
      <c r="AS19" s="306" t="s">
        <v>247</v>
      </c>
      <c r="AT19" s="307" t="str">
        <f t="shared" si="3"/>
        <v xml:space="preserve">SECRETARÍA GENERAL </v>
      </c>
      <c r="AU19" s="308" t="s">
        <v>248</v>
      </c>
      <c r="AV19" s="361" t="s">
        <v>249</v>
      </c>
      <c r="AW19" s="303" t="s">
        <v>244</v>
      </c>
      <c r="AX19" s="303" t="s">
        <v>244</v>
      </c>
      <c r="AY19" s="362" t="s">
        <v>250</v>
      </c>
      <c r="AZ19" s="363" t="s">
        <v>251</v>
      </c>
      <c r="BA19" s="363" t="s">
        <v>252</v>
      </c>
      <c r="BB19" s="363" t="s">
        <v>250</v>
      </c>
      <c r="BC19" s="363"/>
      <c r="BD19" s="363"/>
    </row>
    <row r="20" spans="1:56" ht="84" x14ac:dyDescent="0.2">
      <c r="A20" s="257" t="s">
        <v>258</v>
      </c>
      <c r="B20" s="299" t="s">
        <v>63</v>
      </c>
      <c r="C20" s="299" t="s">
        <v>65</v>
      </c>
      <c r="D20" s="299" t="s">
        <v>5</v>
      </c>
      <c r="E20" s="299"/>
      <c r="F20" s="350" t="s">
        <v>383</v>
      </c>
      <c r="G20" s="350" t="s">
        <v>374</v>
      </c>
      <c r="H20" s="299" t="s">
        <v>67</v>
      </c>
      <c r="I20" s="299">
        <v>4</v>
      </c>
      <c r="J20" s="251">
        <v>5500000</v>
      </c>
      <c r="K20" s="300">
        <f t="shared" si="14"/>
        <v>3.6363636363636376E-2</v>
      </c>
      <c r="L20" s="311">
        <f>IF(H20="OTRO",(J20*1.05),VLOOKUP((I20&amp;H20),'ESCALAS Salarios'!$D$2:$F$30,3,0))</f>
        <v>5700000</v>
      </c>
      <c r="M20" s="299">
        <v>1</v>
      </c>
      <c r="N20" s="299" t="s">
        <v>485</v>
      </c>
      <c r="O20" s="250">
        <v>45327</v>
      </c>
      <c r="P20" s="316">
        <v>45639</v>
      </c>
      <c r="Q20" s="312">
        <f t="shared" si="22"/>
        <v>59280000</v>
      </c>
      <c r="R20" s="250"/>
      <c r="S20" s="250"/>
      <c r="T20" s="312">
        <f t="shared" si="15"/>
        <v>0</v>
      </c>
      <c r="U20" s="318">
        <f t="shared" si="16"/>
        <v>10</v>
      </c>
      <c r="V20" s="352">
        <f t="shared" si="17"/>
        <v>59280000</v>
      </c>
      <c r="W20" s="313">
        <v>55000000</v>
      </c>
      <c r="X20" s="353">
        <f t="shared" si="18"/>
        <v>7.7818181818181786E-2</v>
      </c>
      <c r="Y20" s="372">
        <v>1024463446</v>
      </c>
      <c r="Z20" s="373" t="s">
        <v>401</v>
      </c>
      <c r="AA20" s="356">
        <f t="shared" si="19"/>
        <v>59280000</v>
      </c>
      <c r="AB20" s="270" t="s">
        <v>243</v>
      </c>
      <c r="AC20" s="393" t="s">
        <v>1</v>
      </c>
      <c r="AD20" s="358" t="s">
        <v>361</v>
      </c>
      <c r="AE20" s="358" t="s">
        <v>244</v>
      </c>
      <c r="AF20" s="359" t="str">
        <f t="shared" si="0"/>
        <v>CON-008</v>
      </c>
      <c r="AG20" s="270">
        <v>80111600</v>
      </c>
      <c r="AH20" s="249" t="s">
        <v>675</v>
      </c>
      <c r="AI20" s="301">
        <f t="shared" si="1"/>
        <v>45327</v>
      </c>
      <c r="AJ20" s="301">
        <f t="shared" si="20"/>
        <v>45327</v>
      </c>
      <c r="AK20" s="302">
        <f t="shared" si="2"/>
        <v>10</v>
      </c>
      <c r="AL20" s="303" t="s">
        <v>241</v>
      </c>
      <c r="AM20" s="304" t="s">
        <v>242</v>
      </c>
      <c r="AN20" s="305">
        <f t="shared" si="12"/>
        <v>59280000</v>
      </c>
      <c r="AO20" s="305">
        <f t="shared" si="21"/>
        <v>59280000</v>
      </c>
      <c r="AP20" s="303" t="s">
        <v>244</v>
      </c>
      <c r="AQ20" s="303" t="s">
        <v>245</v>
      </c>
      <c r="AR20" s="360" t="s">
        <v>246</v>
      </c>
      <c r="AS20" s="306" t="s">
        <v>247</v>
      </c>
      <c r="AT20" s="307" t="str">
        <f t="shared" si="3"/>
        <v>OFICINA DE CONTROL INTERNO</v>
      </c>
      <c r="AU20" s="308" t="s">
        <v>248</v>
      </c>
      <c r="AV20" s="361" t="s">
        <v>249</v>
      </c>
      <c r="AW20" s="303" t="s">
        <v>244</v>
      </c>
      <c r="AX20" s="303" t="s">
        <v>244</v>
      </c>
      <c r="AY20" s="362" t="s">
        <v>250</v>
      </c>
      <c r="AZ20" s="363" t="s">
        <v>251</v>
      </c>
      <c r="BA20" s="363" t="s">
        <v>252</v>
      </c>
      <c r="BB20" s="363" t="s">
        <v>250</v>
      </c>
      <c r="BC20" s="363"/>
      <c r="BD20" s="363"/>
    </row>
    <row r="21" spans="1:56" ht="84" x14ac:dyDescent="0.2">
      <c r="A21" s="257" t="s">
        <v>259</v>
      </c>
      <c r="B21" s="299" t="s">
        <v>63</v>
      </c>
      <c r="C21" s="299" t="s">
        <v>65</v>
      </c>
      <c r="D21" s="299" t="s">
        <v>5</v>
      </c>
      <c r="E21" s="299"/>
      <c r="F21" s="350" t="s">
        <v>383</v>
      </c>
      <c r="G21" s="350" t="s">
        <v>374</v>
      </c>
      <c r="H21" s="299" t="s">
        <v>67</v>
      </c>
      <c r="I21" s="299">
        <v>1</v>
      </c>
      <c r="J21" s="251">
        <v>4550000</v>
      </c>
      <c r="K21" s="300">
        <f t="shared" si="14"/>
        <v>3.2967032967033072E-2</v>
      </c>
      <c r="L21" s="311">
        <f>IF(H21="OTRO",(J21*1.05),VLOOKUP((I21&amp;H21),'ESCALAS Salarios'!$D$2:$F$30,3,0))</f>
        <v>4700000</v>
      </c>
      <c r="M21" s="299">
        <v>1</v>
      </c>
      <c r="N21" s="299" t="s">
        <v>485</v>
      </c>
      <c r="O21" s="250">
        <v>45327</v>
      </c>
      <c r="P21" s="316">
        <v>45639</v>
      </c>
      <c r="Q21" s="312">
        <f t="shared" si="22"/>
        <v>48880000</v>
      </c>
      <c r="R21" s="250"/>
      <c r="S21" s="250"/>
      <c r="T21" s="312">
        <f t="shared" si="15"/>
        <v>0</v>
      </c>
      <c r="U21" s="318">
        <f t="shared" si="16"/>
        <v>10</v>
      </c>
      <c r="V21" s="352">
        <f t="shared" si="17"/>
        <v>48880000</v>
      </c>
      <c r="W21" s="313">
        <v>45500000</v>
      </c>
      <c r="X21" s="353">
        <f t="shared" si="18"/>
        <v>7.4285714285714288E-2</v>
      </c>
      <c r="Y21" s="372">
        <v>1032393280</v>
      </c>
      <c r="Z21" s="373" t="s">
        <v>402</v>
      </c>
      <c r="AA21" s="356">
        <f t="shared" si="19"/>
        <v>48880000</v>
      </c>
      <c r="AB21" s="270" t="s">
        <v>243</v>
      </c>
      <c r="AC21" s="393" t="s">
        <v>1</v>
      </c>
      <c r="AD21" s="358" t="s">
        <v>361</v>
      </c>
      <c r="AE21" s="358" t="s">
        <v>244</v>
      </c>
      <c r="AF21" s="359" t="str">
        <f t="shared" si="0"/>
        <v>CON-009</v>
      </c>
      <c r="AG21" s="270">
        <v>80111600</v>
      </c>
      <c r="AH21" s="249" t="s">
        <v>705</v>
      </c>
      <c r="AI21" s="301">
        <f t="shared" si="1"/>
        <v>45327</v>
      </c>
      <c r="AJ21" s="301">
        <f t="shared" si="20"/>
        <v>45327</v>
      </c>
      <c r="AK21" s="302">
        <f t="shared" si="2"/>
        <v>10</v>
      </c>
      <c r="AL21" s="303" t="s">
        <v>241</v>
      </c>
      <c r="AM21" s="304" t="s">
        <v>242</v>
      </c>
      <c r="AN21" s="305">
        <f t="shared" si="12"/>
        <v>48880000</v>
      </c>
      <c r="AO21" s="305">
        <f t="shared" si="21"/>
        <v>48880000</v>
      </c>
      <c r="AP21" s="303" t="s">
        <v>244</v>
      </c>
      <c r="AQ21" s="303" t="s">
        <v>245</v>
      </c>
      <c r="AR21" s="360" t="s">
        <v>246</v>
      </c>
      <c r="AS21" s="306" t="s">
        <v>247</v>
      </c>
      <c r="AT21" s="307" t="str">
        <f t="shared" si="3"/>
        <v>OFICINA DE CONTROL INTERNO</v>
      </c>
      <c r="AU21" s="308" t="s">
        <v>248</v>
      </c>
      <c r="AV21" s="361" t="s">
        <v>249</v>
      </c>
      <c r="AW21" s="303" t="s">
        <v>244</v>
      </c>
      <c r="AX21" s="303" t="s">
        <v>244</v>
      </c>
      <c r="AY21" s="362" t="s">
        <v>250</v>
      </c>
      <c r="AZ21" s="363" t="s">
        <v>251</v>
      </c>
      <c r="BA21" s="363" t="s">
        <v>252</v>
      </c>
      <c r="BB21" s="363" t="s">
        <v>250</v>
      </c>
      <c r="BC21" s="363"/>
      <c r="BD21" s="363"/>
    </row>
    <row r="22" spans="1:56" ht="84" x14ac:dyDescent="0.2">
      <c r="A22" s="257" t="s">
        <v>260</v>
      </c>
      <c r="B22" s="299" t="s">
        <v>63</v>
      </c>
      <c r="C22" s="299" t="s">
        <v>65</v>
      </c>
      <c r="D22" s="299" t="s">
        <v>5</v>
      </c>
      <c r="E22" s="299"/>
      <c r="F22" s="350" t="s">
        <v>383</v>
      </c>
      <c r="G22" s="350" t="s">
        <v>374</v>
      </c>
      <c r="H22" s="299" t="s">
        <v>69</v>
      </c>
      <c r="I22" s="299">
        <v>6</v>
      </c>
      <c r="J22" s="251">
        <v>4200000</v>
      </c>
      <c r="K22" s="300">
        <f t="shared" si="14"/>
        <v>4.7619047619047672E-2</v>
      </c>
      <c r="L22" s="311">
        <f>IF(H22="OTRO",(J22*1.05),VLOOKUP((I22&amp;H22),'ESCALAS Salarios'!$D$2:$F$30,3,0))</f>
        <v>4400000</v>
      </c>
      <c r="M22" s="299">
        <v>1</v>
      </c>
      <c r="N22" s="299" t="s">
        <v>485</v>
      </c>
      <c r="O22" s="250">
        <v>45327</v>
      </c>
      <c r="P22" s="316">
        <v>45639</v>
      </c>
      <c r="Q22" s="312">
        <v>44000000</v>
      </c>
      <c r="R22" s="250"/>
      <c r="S22" s="250"/>
      <c r="T22" s="312">
        <f t="shared" si="15"/>
        <v>0</v>
      </c>
      <c r="U22" s="318">
        <f t="shared" si="16"/>
        <v>10</v>
      </c>
      <c r="V22" s="352">
        <f t="shared" si="17"/>
        <v>44000000</v>
      </c>
      <c r="W22" s="313">
        <v>46200000</v>
      </c>
      <c r="X22" s="353">
        <f t="shared" si="18"/>
        <v>-4.7619047619047672E-2</v>
      </c>
      <c r="Y22" s="372">
        <v>52890082</v>
      </c>
      <c r="Z22" s="373" t="s">
        <v>403</v>
      </c>
      <c r="AA22" s="356">
        <f t="shared" si="19"/>
        <v>44000000</v>
      </c>
      <c r="AB22" s="270" t="s">
        <v>243</v>
      </c>
      <c r="AC22" s="393" t="s">
        <v>1</v>
      </c>
      <c r="AD22" s="358" t="s">
        <v>361</v>
      </c>
      <c r="AE22" s="358" t="s">
        <v>244</v>
      </c>
      <c r="AF22" s="359" t="str">
        <f t="shared" si="0"/>
        <v>CON-010</v>
      </c>
      <c r="AG22" s="270">
        <v>80111600</v>
      </c>
      <c r="AH22" s="249" t="s">
        <v>706</v>
      </c>
      <c r="AI22" s="301">
        <f t="shared" si="1"/>
        <v>45327</v>
      </c>
      <c r="AJ22" s="301">
        <f t="shared" si="20"/>
        <v>45327</v>
      </c>
      <c r="AK22" s="302">
        <f t="shared" si="2"/>
        <v>10</v>
      </c>
      <c r="AL22" s="303" t="s">
        <v>241</v>
      </c>
      <c r="AM22" s="304" t="s">
        <v>242</v>
      </c>
      <c r="AN22" s="305">
        <f t="shared" si="12"/>
        <v>44000000</v>
      </c>
      <c r="AO22" s="305">
        <f t="shared" si="21"/>
        <v>44000000</v>
      </c>
      <c r="AP22" s="303" t="s">
        <v>244</v>
      </c>
      <c r="AQ22" s="303" t="s">
        <v>245</v>
      </c>
      <c r="AR22" s="360" t="s">
        <v>246</v>
      </c>
      <c r="AS22" s="306" t="s">
        <v>247</v>
      </c>
      <c r="AT22" s="307" t="str">
        <f t="shared" si="3"/>
        <v>OFICINA DE CONTROL INTERNO</v>
      </c>
      <c r="AU22" s="308" t="s">
        <v>248</v>
      </c>
      <c r="AV22" s="361" t="s">
        <v>249</v>
      </c>
      <c r="AW22" s="303" t="s">
        <v>244</v>
      </c>
      <c r="AX22" s="303" t="s">
        <v>244</v>
      </c>
      <c r="AY22" s="362" t="s">
        <v>250</v>
      </c>
      <c r="AZ22" s="363" t="s">
        <v>251</v>
      </c>
      <c r="BA22" s="363" t="s">
        <v>252</v>
      </c>
      <c r="BB22" s="363" t="s">
        <v>250</v>
      </c>
      <c r="BC22" s="363"/>
      <c r="BD22" s="363"/>
    </row>
    <row r="23" spans="1:56" ht="60.75" customHeight="1" x14ac:dyDescent="0.2">
      <c r="A23" s="257" t="s">
        <v>261</v>
      </c>
      <c r="B23" s="299" t="s">
        <v>63</v>
      </c>
      <c r="C23" s="299" t="s">
        <v>65</v>
      </c>
      <c r="D23" s="299" t="s">
        <v>6</v>
      </c>
      <c r="E23" s="299"/>
      <c r="F23" s="350" t="s">
        <v>7</v>
      </c>
      <c r="G23" s="350" t="s">
        <v>72</v>
      </c>
      <c r="H23" s="299" t="s">
        <v>471</v>
      </c>
      <c r="I23" s="299">
        <v>6</v>
      </c>
      <c r="J23" s="311">
        <v>9500000</v>
      </c>
      <c r="K23" s="300">
        <f t="shared" si="14"/>
        <v>6.0281513157894651E-2</v>
      </c>
      <c r="L23" s="311">
        <v>10072674.375</v>
      </c>
      <c r="M23" s="299">
        <v>1</v>
      </c>
      <c r="N23" s="299" t="s">
        <v>485</v>
      </c>
      <c r="O23" s="250">
        <v>45302</v>
      </c>
      <c r="P23" s="316">
        <v>45646</v>
      </c>
      <c r="Q23" s="312">
        <f t="shared" si="22"/>
        <v>115499999.5</v>
      </c>
      <c r="R23" s="250"/>
      <c r="S23" s="250"/>
      <c r="T23" s="312">
        <f t="shared" si="15"/>
        <v>0</v>
      </c>
      <c r="U23" s="318">
        <f t="shared" si="16"/>
        <v>11</v>
      </c>
      <c r="V23" s="352">
        <f t="shared" si="17"/>
        <v>115499999.5</v>
      </c>
      <c r="W23" s="313">
        <v>104500000</v>
      </c>
      <c r="X23" s="353">
        <f t="shared" si="18"/>
        <v>0.10526315311004786</v>
      </c>
      <c r="Y23" s="372">
        <v>52887262</v>
      </c>
      <c r="Z23" s="373" t="s">
        <v>8</v>
      </c>
      <c r="AA23" s="356">
        <f t="shared" si="19"/>
        <v>115499999.5</v>
      </c>
      <c r="AB23" s="270" t="s">
        <v>243</v>
      </c>
      <c r="AC23" s="393" t="s">
        <v>1</v>
      </c>
      <c r="AD23" s="358" t="s">
        <v>361</v>
      </c>
      <c r="AE23" s="358" t="s">
        <v>244</v>
      </c>
      <c r="AF23" s="359" t="str">
        <f t="shared" si="0"/>
        <v>CON-011</v>
      </c>
      <c r="AG23" s="270">
        <v>80111600</v>
      </c>
      <c r="AH23" s="249" t="s">
        <v>151</v>
      </c>
      <c r="AI23" s="301">
        <f t="shared" si="1"/>
        <v>45302</v>
      </c>
      <c r="AJ23" s="301">
        <f t="shared" si="20"/>
        <v>45302</v>
      </c>
      <c r="AK23" s="302">
        <f t="shared" si="2"/>
        <v>11</v>
      </c>
      <c r="AL23" s="303" t="s">
        <v>241</v>
      </c>
      <c r="AM23" s="304" t="s">
        <v>242</v>
      </c>
      <c r="AN23" s="305">
        <f t="shared" si="12"/>
        <v>115499999.5</v>
      </c>
      <c r="AO23" s="305">
        <f t="shared" si="21"/>
        <v>115499999.5</v>
      </c>
      <c r="AP23" s="303" t="s">
        <v>244</v>
      </c>
      <c r="AQ23" s="303" t="s">
        <v>245</v>
      </c>
      <c r="AR23" s="360" t="s">
        <v>246</v>
      </c>
      <c r="AS23" s="306" t="s">
        <v>247</v>
      </c>
      <c r="AT23" s="307" t="str">
        <f t="shared" si="3"/>
        <v xml:space="preserve">OFICINA JURÍDICA </v>
      </c>
      <c r="AU23" s="308" t="s">
        <v>248</v>
      </c>
      <c r="AV23" s="361" t="s">
        <v>249</v>
      </c>
      <c r="AW23" s="303" t="s">
        <v>244</v>
      </c>
      <c r="AX23" s="303" t="s">
        <v>244</v>
      </c>
      <c r="AY23" s="362" t="s">
        <v>250</v>
      </c>
      <c r="AZ23" s="363" t="s">
        <v>251</v>
      </c>
      <c r="BA23" s="363" t="s">
        <v>252</v>
      </c>
      <c r="BB23" s="363" t="s">
        <v>250</v>
      </c>
      <c r="BC23" s="363"/>
      <c r="BD23" s="363"/>
    </row>
    <row r="24" spans="1:56" ht="86.25" customHeight="1" x14ac:dyDescent="0.2">
      <c r="A24" s="257" t="s">
        <v>262</v>
      </c>
      <c r="B24" s="299" t="s">
        <v>63</v>
      </c>
      <c r="C24" s="299" t="s">
        <v>65</v>
      </c>
      <c r="D24" s="299" t="s">
        <v>6</v>
      </c>
      <c r="E24" s="299"/>
      <c r="F24" s="350" t="s">
        <v>383</v>
      </c>
      <c r="G24" s="350" t="s">
        <v>374</v>
      </c>
      <c r="H24" s="299" t="s">
        <v>67</v>
      </c>
      <c r="I24" s="299">
        <v>4</v>
      </c>
      <c r="J24" s="251">
        <v>5500000</v>
      </c>
      <c r="K24" s="300">
        <f t="shared" si="14"/>
        <v>3.6363636363636376E-2</v>
      </c>
      <c r="L24" s="311">
        <f>IF(H24="OTRO",(J24*1.05),VLOOKUP((I24&amp;H24),'ESCALAS Salarios'!$D$2:$F$30,3,0))</f>
        <v>5700000</v>
      </c>
      <c r="M24" s="299">
        <v>1</v>
      </c>
      <c r="N24" s="299" t="s">
        <v>485</v>
      </c>
      <c r="O24" s="250">
        <v>45306</v>
      </c>
      <c r="P24" s="316">
        <v>45639</v>
      </c>
      <c r="Q24" s="312">
        <f t="shared" si="22"/>
        <v>63270000</v>
      </c>
      <c r="R24" s="250"/>
      <c r="S24" s="250"/>
      <c r="T24" s="312">
        <f t="shared" si="15"/>
        <v>0</v>
      </c>
      <c r="U24" s="318">
        <f t="shared" si="16"/>
        <v>11</v>
      </c>
      <c r="V24" s="352">
        <f t="shared" si="17"/>
        <v>63270000</v>
      </c>
      <c r="W24" s="313">
        <v>60500000</v>
      </c>
      <c r="X24" s="353">
        <f t="shared" si="18"/>
        <v>4.5785123966942232E-2</v>
      </c>
      <c r="Y24" s="372">
        <v>1075257863</v>
      </c>
      <c r="Z24" s="373" t="s">
        <v>404</v>
      </c>
      <c r="AA24" s="356">
        <f t="shared" si="19"/>
        <v>63270000</v>
      </c>
      <c r="AB24" s="270" t="s">
        <v>243</v>
      </c>
      <c r="AC24" s="393" t="s">
        <v>1</v>
      </c>
      <c r="AD24" s="358" t="s">
        <v>361</v>
      </c>
      <c r="AE24" s="358" t="s">
        <v>244</v>
      </c>
      <c r="AF24" s="359" t="str">
        <f t="shared" si="0"/>
        <v>CON-012</v>
      </c>
      <c r="AG24" s="270">
        <v>80111600</v>
      </c>
      <c r="AH24" s="249" t="s">
        <v>152</v>
      </c>
      <c r="AI24" s="301">
        <f t="shared" si="1"/>
        <v>45306</v>
      </c>
      <c r="AJ24" s="301">
        <f t="shared" si="20"/>
        <v>45306</v>
      </c>
      <c r="AK24" s="302">
        <f t="shared" si="2"/>
        <v>11</v>
      </c>
      <c r="AL24" s="303" t="s">
        <v>241</v>
      </c>
      <c r="AM24" s="304" t="s">
        <v>242</v>
      </c>
      <c r="AN24" s="305">
        <f t="shared" si="12"/>
        <v>63270000</v>
      </c>
      <c r="AO24" s="305">
        <f t="shared" si="21"/>
        <v>63270000</v>
      </c>
      <c r="AP24" s="303" t="s">
        <v>244</v>
      </c>
      <c r="AQ24" s="303" t="s">
        <v>245</v>
      </c>
      <c r="AR24" s="360" t="s">
        <v>246</v>
      </c>
      <c r="AS24" s="306" t="s">
        <v>247</v>
      </c>
      <c r="AT24" s="307" t="str">
        <f t="shared" si="3"/>
        <v xml:space="preserve">OFICINA JURÍDICA </v>
      </c>
      <c r="AU24" s="308" t="s">
        <v>248</v>
      </c>
      <c r="AV24" s="361" t="s">
        <v>249</v>
      </c>
      <c r="AW24" s="303" t="s">
        <v>244</v>
      </c>
      <c r="AX24" s="303" t="s">
        <v>244</v>
      </c>
      <c r="AY24" s="362" t="s">
        <v>250</v>
      </c>
      <c r="AZ24" s="363" t="s">
        <v>251</v>
      </c>
      <c r="BA24" s="363" t="s">
        <v>252</v>
      </c>
      <c r="BB24" s="363" t="s">
        <v>250</v>
      </c>
      <c r="BC24" s="363"/>
      <c r="BD24" s="363"/>
    </row>
    <row r="25" spans="1:56" ht="80.25" customHeight="1" x14ac:dyDescent="0.2">
      <c r="A25" s="257" t="s">
        <v>263</v>
      </c>
      <c r="B25" s="299" t="s">
        <v>63</v>
      </c>
      <c r="C25" s="299" t="s">
        <v>65</v>
      </c>
      <c r="D25" s="299" t="s">
        <v>6</v>
      </c>
      <c r="E25" s="299"/>
      <c r="F25" s="350" t="s">
        <v>383</v>
      </c>
      <c r="G25" s="350" t="s">
        <v>374</v>
      </c>
      <c r="H25" s="299" t="s">
        <v>69</v>
      </c>
      <c r="I25" s="299">
        <v>3</v>
      </c>
      <c r="J25" s="251">
        <v>3400000</v>
      </c>
      <c r="K25" s="300">
        <f t="shared" ref="K25" si="23">IF(J25="",1,((L25/J25)-1))</f>
        <v>5.8823529411764719E-2</v>
      </c>
      <c r="L25" s="311">
        <f>IF(H25="OTRO",(J25*1.05),VLOOKUP((I25&amp;H25),'ESCALAS Salarios'!$D$2:$F$30,3,0))</f>
        <v>3600000</v>
      </c>
      <c r="M25" s="299">
        <v>1</v>
      </c>
      <c r="N25" s="299" t="s">
        <v>485</v>
      </c>
      <c r="O25" s="250">
        <v>45313</v>
      </c>
      <c r="P25" s="316">
        <v>45639</v>
      </c>
      <c r="Q25" s="312">
        <f t="shared" ref="Q25" si="24">IF($N25="MENSUAL",ROUND((((P25-O25))/30),0)*$L25*$M25,((P25-O25)/30)*$L25*$M25)</f>
        <v>39120000</v>
      </c>
      <c r="R25" s="250"/>
      <c r="S25" s="250"/>
      <c r="T25" s="312">
        <f t="shared" ref="T25" si="25">IF($N25="MENSUAL",ROUND((((S25-R25))/30),0)*$L25,((S25-R25)/30)*$L25)</f>
        <v>0</v>
      </c>
      <c r="U25" s="318">
        <f t="shared" ref="U25" si="26">ROUND((((P25-O25)+(S25-R25))/30),0)</f>
        <v>11</v>
      </c>
      <c r="V25" s="352">
        <f t="shared" ref="V25" si="27">+Q25+T25</f>
        <v>39120000</v>
      </c>
      <c r="W25" s="313">
        <v>60500000</v>
      </c>
      <c r="X25" s="353">
        <f t="shared" ref="X25" si="28">IF(W25="",1,((V25/W25)-1))</f>
        <v>-0.35338842975206608</v>
      </c>
      <c r="Y25" s="372"/>
      <c r="Z25" s="373"/>
      <c r="AA25" s="356">
        <f t="shared" ref="AA25" si="29">+V25</f>
        <v>39120000</v>
      </c>
      <c r="AB25" s="270" t="s">
        <v>243</v>
      </c>
      <c r="AC25" s="393" t="s">
        <v>1</v>
      </c>
      <c r="AD25" s="358" t="s">
        <v>361</v>
      </c>
      <c r="AE25" s="358" t="s">
        <v>244</v>
      </c>
      <c r="AF25" s="359" t="str">
        <f t="shared" si="0"/>
        <v>CON-013</v>
      </c>
      <c r="AG25" s="270">
        <v>80111600</v>
      </c>
      <c r="AH25" s="249" t="s">
        <v>668</v>
      </c>
      <c r="AI25" s="301">
        <f t="shared" si="1"/>
        <v>45313</v>
      </c>
      <c r="AJ25" s="301">
        <f t="shared" ref="AJ25" si="30">+AI25</f>
        <v>45313</v>
      </c>
      <c r="AK25" s="302">
        <f t="shared" si="2"/>
        <v>11</v>
      </c>
      <c r="AL25" s="303" t="s">
        <v>241</v>
      </c>
      <c r="AM25" s="304" t="s">
        <v>242</v>
      </c>
      <c r="AN25" s="305">
        <f t="shared" si="12"/>
        <v>39120000</v>
      </c>
      <c r="AO25" s="305">
        <f t="shared" ref="AO25" si="31">+AN25</f>
        <v>39120000</v>
      </c>
      <c r="AP25" s="303" t="s">
        <v>244</v>
      </c>
      <c r="AQ25" s="303" t="s">
        <v>245</v>
      </c>
      <c r="AR25" s="360" t="s">
        <v>246</v>
      </c>
      <c r="AS25" s="306" t="s">
        <v>247</v>
      </c>
      <c r="AT25" s="307" t="str">
        <f t="shared" si="3"/>
        <v xml:space="preserve">OFICINA JURÍDICA </v>
      </c>
      <c r="AU25" s="308" t="s">
        <v>248</v>
      </c>
      <c r="AV25" s="361" t="s">
        <v>249</v>
      </c>
      <c r="AW25" s="303" t="s">
        <v>244</v>
      </c>
      <c r="AX25" s="303" t="s">
        <v>244</v>
      </c>
      <c r="AY25" s="362" t="s">
        <v>250</v>
      </c>
      <c r="AZ25" s="363" t="s">
        <v>251</v>
      </c>
      <c r="BA25" s="363" t="s">
        <v>252</v>
      </c>
      <c r="BB25" s="363" t="s">
        <v>250</v>
      </c>
      <c r="BC25" s="363"/>
      <c r="BD25" s="363"/>
    </row>
    <row r="26" spans="1:56" ht="81.75" customHeight="1" x14ac:dyDescent="0.2">
      <c r="A26" s="257" t="s">
        <v>268</v>
      </c>
      <c r="B26" s="299" t="s">
        <v>63</v>
      </c>
      <c r="C26" s="299" t="s">
        <v>65</v>
      </c>
      <c r="D26" s="299" t="s">
        <v>9</v>
      </c>
      <c r="E26" s="299"/>
      <c r="F26" s="350" t="s">
        <v>383</v>
      </c>
      <c r="G26" s="350" t="s">
        <v>374</v>
      </c>
      <c r="H26" s="299" t="s">
        <v>67</v>
      </c>
      <c r="I26" s="299">
        <v>4</v>
      </c>
      <c r="J26" s="251">
        <v>5500000</v>
      </c>
      <c r="K26" s="300">
        <f t="shared" si="14"/>
        <v>3.6363636363636376E-2</v>
      </c>
      <c r="L26" s="311">
        <f>IF(H26="OTRO",(J26*1.05),VLOOKUP((I26&amp;H26),'ESCALAS Salarios'!$D$2:$F$30,3,0))</f>
        <v>5700000</v>
      </c>
      <c r="M26" s="299">
        <v>1</v>
      </c>
      <c r="N26" s="299" t="s">
        <v>486</v>
      </c>
      <c r="O26" s="250">
        <v>45313</v>
      </c>
      <c r="P26" s="316">
        <v>45639</v>
      </c>
      <c r="Q26" s="312">
        <f t="shared" si="22"/>
        <v>62700000</v>
      </c>
      <c r="R26" s="250"/>
      <c r="S26" s="250"/>
      <c r="T26" s="312">
        <f t="shared" si="15"/>
        <v>0</v>
      </c>
      <c r="U26" s="318">
        <f t="shared" si="16"/>
        <v>11</v>
      </c>
      <c r="V26" s="352">
        <f t="shared" si="17"/>
        <v>62700000</v>
      </c>
      <c r="W26" s="313"/>
      <c r="X26" s="353">
        <f t="shared" si="18"/>
        <v>1</v>
      </c>
      <c r="Y26" s="372"/>
      <c r="Z26" s="373" t="s">
        <v>490</v>
      </c>
      <c r="AA26" s="356">
        <f t="shared" si="19"/>
        <v>62700000</v>
      </c>
      <c r="AB26" s="270" t="s">
        <v>243</v>
      </c>
      <c r="AC26" s="393" t="s">
        <v>1</v>
      </c>
      <c r="AD26" s="358" t="s">
        <v>361</v>
      </c>
      <c r="AE26" s="358" t="s">
        <v>244</v>
      </c>
      <c r="AF26" s="359" t="str">
        <f t="shared" si="0"/>
        <v>CON-017</v>
      </c>
      <c r="AG26" s="270">
        <v>80111600</v>
      </c>
      <c r="AH26" s="249" t="s">
        <v>670</v>
      </c>
      <c r="AI26" s="301">
        <f t="shared" si="1"/>
        <v>45313</v>
      </c>
      <c r="AJ26" s="301">
        <f t="shared" si="20"/>
        <v>45313</v>
      </c>
      <c r="AK26" s="302">
        <f t="shared" si="2"/>
        <v>11</v>
      </c>
      <c r="AL26" s="303" t="s">
        <v>241</v>
      </c>
      <c r="AM26" s="304" t="s">
        <v>242</v>
      </c>
      <c r="AN26" s="305">
        <f t="shared" si="12"/>
        <v>62700000</v>
      </c>
      <c r="AO26" s="305">
        <f t="shared" si="21"/>
        <v>62700000</v>
      </c>
      <c r="AP26" s="303" t="s">
        <v>244</v>
      </c>
      <c r="AQ26" s="303" t="s">
        <v>245</v>
      </c>
      <c r="AR26" s="360" t="s">
        <v>246</v>
      </c>
      <c r="AS26" s="306" t="s">
        <v>247</v>
      </c>
      <c r="AT26" s="307" t="str">
        <f t="shared" si="3"/>
        <v xml:space="preserve">OFICINA DE DESARROLLO Y PLANEACIÓN </v>
      </c>
      <c r="AU26" s="308" t="s">
        <v>248</v>
      </c>
      <c r="AV26" s="361" t="s">
        <v>249</v>
      </c>
      <c r="AW26" s="303" t="s">
        <v>244</v>
      </c>
      <c r="AX26" s="303" t="s">
        <v>244</v>
      </c>
      <c r="AY26" s="362" t="s">
        <v>250</v>
      </c>
      <c r="AZ26" s="363" t="s">
        <v>251</v>
      </c>
      <c r="BA26" s="363" t="s">
        <v>252</v>
      </c>
      <c r="BB26" s="363" t="s">
        <v>250</v>
      </c>
      <c r="BC26" s="363"/>
      <c r="BD26" s="363"/>
    </row>
    <row r="27" spans="1:56" ht="81.75" customHeight="1" x14ac:dyDescent="0.2">
      <c r="A27" s="257" t="s">
        <v>269</v>
      </c>
      <c r="B27" s="299" t="s">
        <v>63</v>
      </c>
      <c r="C27" s="299" t="s">
        <v>65</v>
      </c>
      <c r="D27" s="299" t="s">
        <v>9</v>
      </c>
      <c r="E27" s="299"/>
      <c r="F27" s="350" t="s">
        <v>383</v>
      </c>
      <c r="G27" s="350" t="s">
        <v>374</v>
      </c>
      <c r="H27" s="299" t="s">
        <v>67</v>
      </c>
      <c r="I27" s="299">
        <v>4</v>
      </c>
      <c r="J27" s="251">
        <v>5500000</v>
      </c>
      <c r="K27" s="300">
        <f t="shared" si="14"/>
        <v>3.6363636363636376E-2</v>
      </c>
      <c r="L27" s="311">
        <f>IF(H27="OTRO",(J27*1.05),VLOOKUP((I27&amp;H27),'ESCALAS Salarios'!$D$2:$F$30,3,0))</f>
        <v>5700000</v>
      </c>
      <c r="M27" s="299">
        <v>1</v>
      </c>
      <c r="N27" s="299" t="s">
        <v>486</v>
      </c>
      <c r="O27" s="250">
        <v>45313</v>
      </c>
      <c r="P27" s="316">
        <v>45639</v>
      </c>
      <c r="Q27" s="312">
        <f t="shared" si="22"/>
        <v>62700000</v>
      </c>
      <c r="R27" s="250"/>
      <c r="S27" s="250"/>
      <c r="T27" s="312">
        <f t="shared" si="15"/>
        <v>0</v>
      </c>
      <c r="U27" s="318">
        <f t="shared" si="16"/>
        <v>11</v>
      </c>
      <c r="V27" s="352">
        <f t="shared" si="17"/>
        <v>62700000</v>
      </c>
      <c r="W27" s="313"/>
      <c r="X27" s="353">
        <f t="shared" si="18"/>
        <v>1</v>
      </c>
      <c r="Y27" s="372"/>
      <c r="Z27" s="373" t="s">
        <v>489</v>
      </c>
      <c r="AA27" s="356">
        <f t="shared" si="19"/>
        <v>62700000</v>
      </c>
      <c r="AB27" s="270" t="s">
        <v>243</v>
      </c>
      <c r="AC27" s="393" t="s">
        <v>1</v>
      </c>
      <c r="AD27" s="358" t="s">
        <v>361</v>
      </c>
      <c r="AE27" s="358" t="s">
        <v>244</v>
      </c>
      <c r="AF27" s="359" t="str">
        <f t="shared" si="0"/>
        <v>CON-018</v>
      </c>
      <c r="AG27" s="270">
        <v>80111600</v>
      </c>
      <c r="AH27" s="249" t="s">
        <v>669</v>
      </c>
      <c r="AI27" s="301">
        <f t="shared" si="1"/>
        <v>45313</v>
      </c>
      <c r="AJ27" s="301">
        <f t="shared" si="20"/>
        <v>45313</v>
      </c>
      <c r="AK27" s="302">
        <f t="shared" si="2"/>
        <v>11</v>
      </c>
      <c r="AL27" s="303" t="s">
        <v>241</v>
      </c>
      <c r="AM27" s="304" t="s">
        <v>242</v>
      </c>
      <c r="AN27" s="305">
        <f t="shared" si="12"/>
        <v>62700000</v>
      </c>
      <c r="AO27" s="305">
        <f t="shared" si="21"/>
        <v>62700000</v>
      </c>
      <c r="AP27" s="303" t="s">
        <v>244</v>
      </c>
      <c r="AQ27" s="303" t="s">
        <v>245</v>
      </c>
      <c r="AR27" s="360" t="s">
        <v>246</v>
      </c>
      <c r="AS27" s="306" t="s">
        <v>247</v>
      </c>
      <c r="AT27" s="307" t="str">
        <f t="shared" si="3"/>
        <v xml:space="preserve">OFICINA DE DESARROLLO Y PLANEACIÓN </v>
      </c>
      <c r="AU27" s="308" t="s">
        <v>248</v>
      </c>
      <c r="AV27" s="361" t="s">
        <v>249</v>
      </c>
      <c r="AW27" s="303" t="s">
        <v>244</v>
      </c>
      <c r="AX27" s="303" t="s">
        <v>244</v>
      </c>
      <c r="AY27" s="362" t="s">
        <v>250</v>
      </c>
      <c r="AZ27" s="363" t="s">
        <v>251</v>
      </c>
      <c r="BA27" s="363" t="s">
        <v>252</v>
      </c>
      <c r="BB27" s="363" t="s">
        <v>250</v>
      </c>
      <c r="BC27" s="363"/>
      <c r="BD27" s="363"/>
    </row>
    <row r="28" spans="1:56" ht="81.75" customHeight="1" x14ac:dyDescent="0.2">
      <c r="A28" s="257" t="s">
        <v>273</v>
      </c>
      <c r="B28" s="299" t="s">
        <v>63</v>
      </c>
      <c r="C28" s="299" t="s">
        <v>65</v>
      </c>
      <c r="D28" s="299" t="s">
        <v>9</v>
      </c>
      <c r="E28" s="299"/>
      <c r="F28" s="350" t="s">
        <v>383</v>
      </c>
      <c r="G28" s="350" t="s">
        <v>374</v>
      </c>
      <c r="H28" s="299" t="s">
        <v>67</v>
      </c>
      <c r="I28" s="299">
        <v>4</v>
      </c>
      <c r="J28" s="251">
        <v>5500000</v>
      </c>
      <c r="K28" s="300">
        <f t="shared" si="14"/>
        <v>3.6363636363636376E-2</v>
      </c>
      <c r="L28" s="311">
        <f>IF(H28="OTRO",(J28*1.05),VLOOKUP((I28&amp;H28),'[1]ESCALAS Salarios'!$D$2:$F$30,3,0))</f>
        <v>5700000</v>
      </c>
      <c r="M28" s="299">
        <v>1</v>
      </c>
      <c r="N28" s="299" t="s">
        <v>486</v>
      </c>
      <c r="O28" s="250">
        <v>45334</v>
      </c>
      <c r="P28" s="316">
        <v>45646</v>
      </c>
      <c r="Q28" s="312">
        <f t="shared" si="22"/>
        <v>57000000</v>
      </c>
      <c r="R28" s="250"/>
      <c r="S28" s="250"/>
      <c r="T28" s="312">
        <f t="shared" si="15"/>
        <v>0</v>
      </c>
      <c r="U28" s="318">
        <f t="shared" si="16"/>
        <v>10</v>
      </c>
      <c r="V28" s="352">
        <f t="shared" si="17"/>
        <v>57000000</v>
      </c>
      <c r="W28" s="313"/>
      <c r="X28" s="353">
        <f t="shared" si="18"/>
        <v>1</v>
      </c>
      <c r="Y28" s="372"/>
      <c r="Z28" s="373" t="s">
        <v>494</v>
      </c>
      <c r="AA28" s="356">
        <f t="shared" si="19"/>
        <v>57000000</v>
      </c>
      <c r="AB28" s="270" t="s">
        <v>243</v>
      </c>
      <c r="AC28" s="393" t="s">
        <v>1</v>
      </c>
      <c r="AD28" s="358" t="s">
        <v>361</v>
      </c>
      <c r="AE28" s="358" t="s">
        <v>244</v>
      </c>
      <c r="AF28" s="359" t="str">
        <f t="shared" si="0"/>
        <v>CON-021</v>
      </c>
      <c r="AG28" s="270">
        <v>80111600</v>
      </c>
      <c r="AH28" s="249" t="s">
        <v>685</v>
      </c>
      <c r="AI28" s="301">
        <f t="shared" si="1"/>
        <v>45334</v>
      </c>
      <c r="AJ28" s="301">
        <f t="shared" si="20"/>
        <v>45334</v>
      </c>
      <c r="AK28" s="302">
        <f t="shared" si="2"/>
        <v>10</v>
      </c>
      <c r="AL28" s="303" t="s">
        <v>241</v>
      </c>
      <c r="AM28" s="304" t="s">
        <v>242</v>
      </c>
      <c r="AN28" s="305">
        <f t="shared" si="12"/>
        <v>57000000</v>
      </c>
      <c r="AO28" s="305">
        <f t="shared" si="21"/>
        <v>57000000</v>
      </c>
      <c r="AP28" s="303" t="s">
        <v>244</v>
      </c>
      <c r="AQ28" s="303" t="s">
        <v>245</v>
      </c>
      <c r="AR28" s="360" t="s">
        <v>246</v>
      </c>
      <c r="AS28" s="306" t="s">
        <v>247</v>
      </c>
      <c r="AT28" s="307" t="str">
        <f t="shared" si="3"/>
        <v xml:space="preserve">OFICINA DE DESARROLLO Y PLANEACIÓN </v>
      </c>
      <c r="AU28" s="308" t="s">
        <v>248</v>
      </c>
      <c r="AV28" s="361" t="s">
        <v>249</v>
      </c>
      <c r="AW28" s="303" t="s">
        <v>244</v>
      </c>
      <c r="AX28" s="303" t="s">
        <v>244</v>
      </c>
      <c r="AY28" s="362" t="s">
        <v>250</v>
      </c>
      <c r="AZ28" s="363" t="s">
        <v>251</v>
      </c>
      <c r="BA28" s="363" t="s">
        <v>252</v>
      </c>
      <c r="BB28" s="363" t="s">
        <v>250</v>
      </c>
      <c r="BC28" s="363"/>
      <c r="BD28" s="363"/>
    </row>
    <row r="29" spans="1:56" ht="96" x14ac:dyDescent="0.2">
      <c r="A29" s="257" t="s">
        <v>274</v>
      </c>
      <c r="B29" s="299" t="s">
        <v>63</v>
      </c>
      <c r="C29" s="299" t="s">
        <v>65</v>
      </c>
      <c r="D29" s="299" t="s">
        <v>9</v>
      </c>
      <c r="E29" s="299"/>
      <c r="F29" s="350" t="s">
        <v>383</v>
      </c>
      <c r="G29" s="350" t="s">
        <v>374</v>
      </c>
      <c r="H29" s="299" t="s">
        <v>67</v>
      </c>
      <c r="I29" s="299">
        <v>4</v>
      </c>
      <c r="J29" s="251">
        <v>5000000</v>
      </c>
      <c r="K29" s="300">
        <f t="shared" si="14"/>
        <v>0.1399999999999999</v>
      </c>
      <c r="L29" s="311">
        <f>IF(H29="OTRO",(J29*1.05),VLOOKUP((I29&amp;H29),'ESCALAS Salarios'!$D$2:$F$30,3,0))</f>
        <v>5700000</v>
      </c>
      <c r="M29" s="299">
        <v>1</v>
      </c>
      <c r="N29" s="299" t="s">
        <v>486</v>
      </c>
      <c r="O29" s="250">
        <v>45313</v>
      </c>
      <c r="P29" s="316">
        <v>45639</v>
      </c>
      <c r="Q29" s="312">
        <v>55670000</v>
      </c>
      <c r="R29" s="250"/>
      <c r="S29" s="250"/>
      <c r="T29" s="312">
        <f t="shared" ref="T29" si="32">IF($N29="MENSUAL",ROUND((((S29-R29))/30),0)*$L29,((S29-R29)/30)*$L29)</f>
        <v>0</v>
      </c>
      <c r="U29" s="318">
        <f t="shared" ref="U29" si="33">ROUND((((P29-O29)+(S29-R29))/30),0)</f>
        <v>11</v>
      </c>
      <c r="V29" s="352">
        <f t="shared" ref="V29" si="34">+Q29+T29</f>
        <v>55670000</v>
      </c>
      <c r="W29" s="313"/>
      <c r="X29" s="353">
        <f t="shared" ref="X29" si="35">IF(W29="",1,((V29/W29)-1))</f>
        <v>1</v>
      </c>
      <c r="Y29" s="372">
        <v>52080684</v>
      </c>
      <c r="Z29" s="373" t="s">
        <v>645</v>
      </c>
      <c r="AA29" s="356">
        <f t="shared" ref="AA29" si="36">+V29</f>
        <v>55670000</v>
      </c>
      <c r="AB29" s="270" t="s">
        <v>243</v>
      </c>
      <c r="AC29" s="393" t="s">
        <v>1</v>
      </c>
      <c r="AD29" s="358" t="s">
        <v>361</v>
      </c>
      <c r="AE29" s="358" t="s">
        <v>244</v>
      </c>
      <c r="AF29" s="359" t="str">
        <f t="shared" si="0"/>
        <v>CON-022</v>
      </c>
      <c r="AG29" s="270">
        <v>80111600</v>
      </c>
      <c r="AH29" s="249" t="s">
        <v>709</v>
      </c>
      <c r="AI29" s="301">
        <f t="shared" si="1"/>
        <v>45313</v>
      </c>
      <c r="AJ29" s="301">
        <f t="shared" si="20"/>
        <v>45313</v>
      </c>
      <c r="AK29" s="302">
        <f t="shared" si="2"/>
        <v>11</v>
      </c>
      <c r="AL29" s="303" t="s">
        <v>241</v>
      </c>
      <c r="AM29" s="304" t="s">
        <v>242</v>
      </c>
      <c r="AN29" s="305">
        <f t="shared" si="12"/>
        <v>55670000</v>
      </c>
      <c r="AO29" s="305">
        <f t="shared" si="21"/>
        <v>55670000</v>
      </c>
      <c r="AP29" s="303" t="s">
        <v>244</v>
      </c>
      <c r="AQ29" s="303" t="s">
        <v>245</v>
      </c>
      <c r="AR29" s="360" t="s">
        <v>246</v>
      </c>
      <c r="AS29" s="306" t="s">
        <v>247</v>
      </c>
      <c r="AT29" s="307" t="str">
        <f t="shared" si="3"/>
        <v xml:space="preserve">OFICINA DE DESARROLLO Y PLANEACIÓN </v>
      </c>
      <c r="AU29" s="308" t="s">
        <v>248</v>
      </c>
      <c r="AV29" s="361" t="s">
        <v>249</v>
      </c>
      <c r="AW29" s="303" t="s">
        <v>244</v>
      </c>
      <c r="AX29" s="303" t="s">
        <v>244</v>
      </c>
      <c r="AY29" s="362" t="s">
        <v>250</v>
      </c>
      <c r="AZ29" s="363" t="s">
        <v>251</v>
      </c>
      <c r="BA29" s="363" t="s">
        <v>252</v>
      </c>
      <c r="BB29" s="363" t="s">
        <v>250</v>
      </c>
      <c r="BC29" s="363"/>
      <c r="BD29" s="363"/>
    </row>
    <row r="30" spans="1:56" ht="98.25" customHeight="1" x14ac:dyDescent="0.2">
      <c r="A30" s="257" t="s">
        <v>276</v>
      </c>
      <c r="B30" s="299" t="s">
        <v>63</v>
      </c>
      <c r="C30" s="299" t="s">
        <v>65</v>
      </c>
      <c r="D30" s="299" t="s">
        <v>9</v>
      </c>
      <c r="E30" s="299"/>
      <c r="F30" s="350"/>
      <c r="G30" s="350" t="s">
        <v>72</v>
      </c>
      <c r="H30" s="299" t="s">
        <v>473</v>
      </c>
      <c r="I30" s="299"/>
      <c r="J30" s="251">
        <v>3282647.4545454546</v>
      </c>
      <c r="K30" s="300">
        <f t="shared" si="14"/>
        <v>0.10000000000000009</v>
      </c>
      <c r="L30" s="311">
        <f>+J30*1.1</f>
        <v>3610912.2</v>
      </c>
      <c r="M30" s="299">
        <v>1</v>
      </c>
      <c r="N30" s="299" t="s">
        <v>486</v>
      </c>
      <c r="O30" s="250">
        <v>45327</v>
      </c>
      <c r="P30" s="316">
        <v>45646</v>
      </c>
      <c r="Q30" s="312">
        <f t="shared" si="22"/>
        <v>39720034.200000003</v>
      </c>
      <c r="R30" s="250"/>
      <c r="S30" s="250"/>
      <c r="T30" s="312">
        <f t="shared" si="15"/>
        <v>0</v>
      </c>
      <c r="U30" s="318">
        <f t="shared" si="16"/>
        <v>11</v>
      </c>
      <c r="V30" s="352">
        <f t="shared" si="17"/>
        <v>39720034.200000003</v>
      </c>
      <c r="W30" s="313">
        <v>36109122</v>
      </c>
      <c r="X30" s="353">
        <f t="shared" si="18"/>
        <v>0.10000000000000009</v>
      </c>
      <c r="Y30" s="313"/>
      <c r="Z30" s="355" t="s">
        <v>10</v>
      </c>
      <c r="AA30" s="356">
        <f t="shared" si="19"/>
        <v>39720034.200000003</v>
      </c>
      <c r="AB30" s="270" t="s">
        <v>243</v>
      </c>
      <c r="AC30" s="393" t="s">
        <v>1</v>
      </c>
      <c r="AD30" s="358" t="s">
        <v>361</v>
      </c>
      <c r="AE30" s="358" t="s">
        <v>244</v>
      </c>
      <c r="AF30" s="359" t="str">
        <f t="shared" si="0"/>
        <v>CON-025</v>
      </c>
      <c r="AG30" s="270" t="s">
        <v>672</v>
      </c>
      <c r="AH30" s="249" t="s">
        <v>141</v>
      </c>
      <c r="AI30" s="301">
        <f t="shared" si="1"/>
        <v>45327</v>
      </c>
      <c r="AJ30" s="301">
        <f t="shared" si="20"/>
        <v>45327</v>
      </c>
      <c r="AK30" s="302">
        <f t="shared" si="2"/>
        <v>11</v>
      </c>
      <c r="AL30" s="303" t="s">
        <v>241</v>
      </c>
      <c r="AM30" s="304" t="s">
        <v>242</v>
      </c>
      <c r="AN30" s="305">
        <f t="shared" si="12"/>
        <v>39720034.200000003</v>
      </c>
      <c r="AO30" s="305">
        <f t="shared" si="21"/>
        <v>39720034.200000003</v>
      </c>
      <c r="AP30" s="303" t="s">
        <v>244</v>
      </c>
      <c r="AQ30" s="303" t="s">
        <v>245</v>
      </c>
      <c r="AR30" s="360" t="s">
        <v>246</v>
      </c>
      <c r="AS30" s="306" t="s">
        <v>247</v>
      </c>
      <c r="AT30" s="307" t="str">
        <f t="shared" si="3"/>
        <v xml:space="preserve">OFICINA DE DESARROLLO Y PLANEACIÓN </v>
      </c>
      <c r="AU30" s="308" t="s">
        <v>248</v>
      </c>
      <c r="AV30" s="361" t="s">
        <v>249</v>
      </c>
      <c r="AW30" s="303" t="s">
        <v>244</v>
      </c>
      <c r="AX30" s="303" t="s">
        <v>244</v>
      </c>
      <c r="AY30" s="362" t="s">
        <v>250</v>
      </c>
      <c r="AZ30" s="363" t="s">
        <v>251</v>
      </c>
      <c r="BA30" s="363" t="s">
        <v>252</v>
      </c>
      <c r="BB30" s="363" t="s">
        <v>250</v>
      </c>
      <c r="BC30" s="363"/>
      <c r="BD30" s="363"/>
    </row>
    <row r="31" spans="1:56" ht="137.25" customHeight="1" x14ac:dyDescent="0.2">
      <c r="A31" s="257" t="s">
        <v>277</v>
      </c>
      <c r="B31" s="299" t="s">
        <v>63</v>
      </c>
      <c r="C31" s="299" t="s">
        <v>65</v>
      </c>
      <c r="D31" s="299" t="s">
        <v>9</v>
      </c>
      <c r="E31" s="299"/>
      <c r="F31" s="350"/>
      <c r="G31" s="350" t="s">
        <v>72</v>
      </c>
      <c r="H31" s="299" t="s">
        <v>473</v>
      </c>
      <c r="I31" s="299"/>
      <c r="J31" s="251">
        <v>1454449.1729803635</v>
      </c>
      <c r="K31" s="300">
        <f t="shared" si="14"/>
        <v>0.10000000000000009</v>
      </c>
      <c r="L31" s="311">
        <f>+J31*1.1</f>
        <v>1599894.0902783999</v>
      </c>
      <c r="M31" s="299">
        <v>1</v>
      </c>
      <c r="N31" s="299" t="s">
        <v>486</v>
      </c>
      <c r="O31" s="250">
        <v>45327</v>
      </c>
      <c r="P31" s="316">
        <v>45646</v>
      </c>
      <c r="Q31" s="312">
        <f t="shared" si="22"/>
        <v>17598834.993062399</v>
      </c>
      <c r="R31" s="250"/>
      <c r="S31" s="250"/>
      <c r="T31" s="312">
        <f t="shared" si="15"/>
        <v>0</v>
      </c>
      <c r="U31" s="318">
        <f t="shared" si="16"/>
        <v>11</v>
      </c>
      <c r="V31" s="352">
        <f t="shared" si="17"/>
        <v>17598834.993062399</v>
      </c>
      <c r="W31" s="313">
        <v>15998940.902783997</v>
      </c>
      <c r="X31" s="353">
        <f t="shared" si="18"/>
        <v>0.10000000000000009</v>
      </c>
      <c r="Y31" s="313"/>
      <c r="Z31" s="355" t="s">
        <v>11</v>
      </c>
      <c r="AA31" s="356">
        <f t="shared" si="19"/>
        <v>17598834.993062399</v>
      </c>
      <c r="AB31" s="270" t="s">
        <v>243</v>
      </c>
      <c r="AC31" s="393" t="s">
        <v>1</v>
      </c>
      <c r="AD31" s="358" t="s">
        <v>361</v>
      </c>
      <c r="AE31" s="358" t="s">
        <v>244</v>
      </c>
      <c r="AF31" s="359" t="str">
        <f t="shared" si="0"/>
        <v>CON-026</v>
      </c>
      <c r="AG31" s="270" t="s">
        <v>802</v>
      </c>
      <c r="AH31" s="249" t="s">
        <v>801</v>
      </c>
      <c r="AI31" s="301">
        <f t="shared" si="1"/>
        <v>45327</v>
      </c>
      <c r="AJ31" s="301">
        <f t="shared" si="20"/>
        <v>45327</v>
      </c>
      <c r="AK31" s="302">
        <f t="shared" si="2"/>
        <v>11</v>
      </c>
      <c r="AL31" s="303" t="s">
        <v>241</v>
      </c>
      <c r="AM31" s="304" t="s">
        <v>242</v>
      </c>
      <c r="AN31" s="305">
        <f t="shared" si="12"/>
        <v>17598834.993062399</v>
      </c>
      <c r="AO31" s="305">
        <f t="shared" si="21"/>
        <v>17598834.993062399</v>
      </c>
      <c r="AP31" s="303" t="s">
        <v>244</v>
      </c>
      <c r="AQ31" s="303" t="s">
        <v>245</v>
      </c>
      <c r="AR31" s="360" t="s">
        <v>246</v>
      </c>
      <c r="AS31" s="306" t="s">
        <v>247</v>
      </c>
      <c r="AT31" s="307" t="str">
        <f t="shared" si="3"/>
        <v xml:space="preserve">OFICINA DE DESARROLLO Y PLANEACIÓN </v>
      </c>
      <c r="AU31" s="308" t="s">
        <v>248</v>
      </c>
      <c r="AV31" s="361" t="s">
        <v>249</v>
      </c>
      <c r="AW31" s="303" t="s">
        <v>244</v>
      </c>
      <c r="AX31" s="303" t="s">
        <v>244</v>
      </c>
      <c r="AY31" s="362" t="s">
        <v>250</v>
      </c>
      <c r="AZ31" s="363" t="s">
        <v>251</v>
      </c>
      <c r="BA31" s="363" t="s">
        <v>252</v>
      </c>
      <c r="BB31" s="363" t="s">
        <v>250</v>
      </c>
      <c r="BC31" s="363"/>
      <c r="BD31" s="363"/>
    </row>
    <row r="32" spans="1:56" ht="134.25" customHeight="1" x14ac:dyDescent="0.2">
      <c r="A32" s="257" t="s">
        <v>279</v>
      </c>
      <c r="B32" s="299" t="s">
        <v>63</v>
      </c>
      <c r="C32" s="299" t="s">
        <v>65</v>
      </c>
      <c r="D32" s="299" t="s">
        <v>12</v>
      </c>
      <c r="E32" s="299"/>
      <c r="F32" s="350" t="s">
        <v>383</v>
      </c>
      <c r="G32" s="350" t="s">
        <v>374</v>
      </c>
      <c r="H32" s="299" t="s">
        <v>69</v>
      </c>
      <c r="I32" s="299">
        <v>6</v>
      </c>
      <c r="J32" s="251">
        <v>4200000</v>
      </c>
      <c r="K32" s="300">
        <f t="shared" si="14"/>
        <v>4.7619047619047672E-2</v>
      </c>
      <c r="L32" s="311">
        <f>IF(H32="OTRO",(J32*1.05),VLOOKUP((I32&amp;H32),'ESCALAS Salarios'!$D$2:$F$30,3,0))</f>
        <v>4400000</v>
      </c>
      <c r="M32" s="299">
        <v>1</v>
      </c>
      <c r="N32" s="299" t="s">
        <v>485</v>
      </c>
      <c r="O32" s="250">
        <v>45327</v>
      </c>
      <c r="P32" s="316">
        <v>45646</v>
      </c>
      <c r="Q32" s="312">
        <f t="shared" si="22"/>
        <v>46786666.666666664</v>
      </c>
      <c r="R32" s="250"/>
      <c r="S32" s="250"/>
      <c r="T32" s="312">
        <f t="shared" si="15"/>
        <v>0</v>
      </c>
      <c r="U32" s="318">
        <f t="shared" si="16"/>
        <v>11</v>
      </c>
      <c r="V32" s="352">
        <f t="shared" si="17"/>
        <v>46786666.666666664</v>
      </c>
      <c r="W32" s="313">
        <v>42000000</v>
      </c>
      <c r="X32" s="353">
        <f t="shared" si="18"/>
        <v>0.11396825396825383</v>
      </c>
      <c r="Y32" s="372">
        <v>52312543</v>
      </c>
      <c r="Z32" s="373" t="s">
        <v>409</v>
      </c>
      <c r="AA32" s="356">
        <f t="shared" si="19"/>
        <v>46786666.666666664</v>
      </c>
      <c r="AB32" s="270" t="s">
        <v>243</v>
      </c>
      <c r="AC32" s="393" t="s">
        <v>1</v>
      </c>
      <c r="AD32" s="358" t="s">
        <v>361</v>
      </c>
      <c r="AE32" s="358" t="s">
        <v>244</v>
      </c>
      <c r="AF32" s="359" t="str">
        <f t="shared" si="0"/>
        <v>CON-028</v>
      </c>
      <c r="AG32" s="270">
        <v>80111600</v>
      </c>
      <c r="AH32" s="249" t="s">
        <v>153</v>
      </c>
      <c r="AI32" s="301">
        <f t="shared" si="1"/>
        <v>45327</v>
      </c>
      <c r="AJ32" s="301">
        <f t="shared" si="20"/>
        <v>45327</v>
      </c>
      <c r="AK32" s="302">
        <f t="shared" si="2"/>
        <v>11</v>
      </c>
      <c r="AL32" s="303" t="s">
        <v>241</v>
      </c>
      <c r="AM32" s="304" t="s">
        <v>242</v>
      </c>
      <c r="AN32" s="305">
        <f t="shared" si="12"/>
        <v>46786666.666666664</v>
      </c>
      <c r="AO32" s="305">
        <f t="shared" si="21"/>
        <v>46786666.666666664</v>
      </c>
      <c r="AP32" s="303" t="s">
        <v>244</v>
      </c>
      <c r="AQ32" s="303" t="s">
        <v>245</v>
      </c>
      <c r="AR32" s="360" t="s">
        <v>246</v>
      </c>
      <c r="AS32" s="306" t="s">
        <v>247</v>
      </c>
      <c r="AT32" s="307" t="str">
        <f t="shared" si="3"/>
        <v>ASEGURAMIENTO DE LA CALIDAD</v>
      </c>
      <c r="AU32" s="308" t="s">
        <v>248</v>
      </c>
      <c r="AV32" s="361" t="s">
        <v>249</v>
      </c>
      <c r="AW32" s="303" t="s">
        <v>244</v>
      </c>
      <c r="AX32" s="303" t="s">
        <v>244</v>
      </c>
      <c r="AY32" s="362" t="s">
        <v>250</v>
      </c>
      <c r="AZ32" s="363" t="s">
        <v>251</v>
      </c>
      <c r="BA32" s="363" t="s">
        <v>252</v>
      </c>
      <c r="BB32" s="363" t="s">
        <v>250</v>
      </c>
      <c r="BC32" s="363"/>
      <c r="BD32" s="363"/>
    </row>
    <row r="33" spans="1:56" ht="106.5" customHeight="1" x14ac:dyDescent="0.2">
      <c r="A33" s="257" t="s">
        <v>280</v>
      </c>
      <c r="B33" s="299" t="s">
        <v>63</v>
      </c>
      <c r="C33" s="299" t="s">
        <v>13</v>
      </c>
      <c r="D33" s="299" t="s">
        <v>74</v>
      </c>
      <c r="E33" s="299"/>
      <c r="F33" s="350" t="s">
        <v>383</v>
      </c>
      <c r="G33" s="350" t="s">
        <v>374</v>
      </c>
      <c r="H33" s="299" t="s">
        <v>69</v>
      </c>
      <c r="I33" s="299">
        <v>6</v>
      </c>
      <c r="J33" s="251">
        <v>4200000</v>
      </c>
      <c r="K33" s="300">
        <f t="shared" si="14"/>
        <v>4.7619047619047672E-2</v>
      </c>
      <c r="L33" s="311">
        <f>IF(H33="OTRO",(J33*1.05),VLOOKUP((I33&amp;H33),'ESCALAS Salarios'!$D$2:$F$30,3,0))</f>
        <v>4400000</v>
      </c>
      <c r="M33" s="299">
        <v>1</v>
      </c>
      <c r="N33" s="299" t="s">
        <v>485</v>
      </c>
      <c r="O33" s="250">
        <v>45327</v>
      </c>
      <c r="P33" s="316">
        <v>45626</v>
      </c>
      <c r="Q33" s="312">
        <f t="shared" si="22"/>
        <v>43853333.333333336</v>
      </c>
      <c r="R33" s="250"/>
      <c r="S33" s="250"/>
      <c r="T33" s="312">
        <f t="shared" si="15"/>
        <v>0</v>
      </c>
      <c r="U33" s="318">
        <f t="shared" si="16"/>
        <v>10</v>
      </c>
      <c r="V33" s="352">
        <f t="shared" si="17"/>
        <v>43853333.333333336</v>
      </c>
      <c r="W33" s="313">
        <v>55000000</v>
      </c>
      <c r="X33" s="353">
        <f t="shared" si="18"/>
        <v>-0.20266666666666666</v>
      </c>
      <c r="Y33" s="372">
        <v>1022374467</v>
      </c>
      <c r="Z33" s="373" t="s">
        <v>410</v>
      </c>
      <c r="AA33" s="356">
        <f t="shared" si="19"/>
        <v>43853333.333333336</v>
      </c>
      <c r="AB33" s="270" t="s">
        <v>243</v>
      </c>
      <c r="AC33" s="393" t="s">
        <v>1</v>
      </c>
      <c r="AD33" s="358" t="s">
        <v>361</v>
      </c>
      <c r="AE33" s="358" t="s">
        <v>244</v>
      </c>
      <c r="AF33" s="359" t="str">
        <f t="shared" si="0"/>
        <v>CON-029</v>
      </c>
      <c r="AG33" s="270">
        <v>80111600</v>
      </c>
      <c r="AH33" s="249" t="s">
        <v>270</v>
      </c>
      <c r="AI33" s="301">
        <f t="shared" si="1"/>
        <v>45327</v>
      </c>
      <c r="AJ33" s="301">
        <f t="shared" si="20"/>
        <v>45327</v>
      </c>
      <c r="AK33" s="302">
        <f t="shared" si="2"/>
        <v>10</v>
      </c>
      <c r="AL33" s="303" t="s">
        <v>241</v>
      </c>
      <c r="AM33" s="304" t="s">
        <v>242</v>
      </c>
      <c r="AN33" s="305">
        <f t="shared" si="12"/>
        <v>43853333.333333336</v>
      </c>
      <c r="AO33" s="305">
        <f t="shared" si="21"/>
        <v>43853333.333333336</v>
      </c>
      <c r="AP33" s="303" t="s">
        <v>244</v>
      </c>
      <c r="AQ33" s="303" t="s">
        <v>245</v>
      </c>
      <c r="AR33" s="360" t="s">
        <v>246</v>
      </c>
      <c r="AS33" s="306" t="s">
        <v>247</v>
      </c>
      <c r="AT33" s="307" t="str">
        <f t="shared" si="3"/>
        <v>DESPACHO VAC</v>
      </c>
      <c r="AU33" s="308" t="s">
        <v>248</v>
      </c>
      <c r="AV33" s="361" t="s">
        <v>249</v>
      </c>
      <c r="AW33" s="303" t="s">
        <v>244</v>
      </c>
      <c r="AX33" s="303" t="s">
        <v>244</v>
      </c>
      <c r="AY33" s="362" t="s">
        <v>250</v>
      </c>
      <c r="AZ33" s="363" t="s">
        <v>251</v>
      </c>
      <c r="BA33" s="363" t="s">
        <v>252</v>
      </c>
      <c r="BB33" s="363" t="s">
        <v>250</v>
      </c>
      <c r="BC33" s="363"/>
      <c r="BD33" s="363"/>
    </row>
    <row r="34" spans="1:56" ht="74.25" customHeight="1" x14ac:dyDescent="0.2">
      <c r="A34" s="257" t="s">
        <v>281</v>
      </c>
      <c r="B34" s="299" t="s">
        <v>63</v>
      </c>
      <c r="C34" s="299" t="s">
        <v>13</v>
      </c>
      <c r="D34" s="299" t="s">
        <v>74</v>
      </c>
      <c r="E34" s="299"/>
      <c r="F34" s="350" t="s">
        <v>383</v>
      </c>
      <c r="G34" s="350" t="s">
        <v>374</v>
      </c>
      <c r="H34" s="299" t="s">
        <v>67</v>
      </c>
      <c r="I34" s="299">
        <v>4</v>
      </c>
      <c r="J34" s="251">
        <v>5500000</v>
      </c>
      <c r="K34" s="300">
        <f t="shared" si="14"/>
        <v>3.6363636363636376E-2</v>
      </c>
      <c r="L34" s="311">
        <f>IF(H34="OTRO",(J34*1.05),VLOOKUP((I34&amp;H34),'ESCALAS Salarios'!$D$2:$F$30,3,0))</f>
        <v>5700000</v>
      </c>
      <c r="M34" s="299">
        <v>1</v>
      </c>
      <c r="N34" s="299" t="s">
        <v>485</v>
      </c>
      <c r="O34" s="250">
        <v>45327</v>
      </c>
      <c r="P34" s="316">
        <v>45639</v>
      </c>
      <c r="Q34" s="312">
        <v>53770000</v>
      </c>
      <c r="R34" s="250"/>
      <c r="S34" s="250"/>
      <c r="T34" s="312">
        <f t="shared" si="15"/>
        <v>0</v>
      </c>
      <c r="U34" s="318">
        <f t="shared" si="16"/>
        <v>10</v>
      </c>
      <c r="V34" s="352">
        <f t="shared" si="17"/>
        <v>53770000</v>
      </c>
      <c r="W34" s="313">
        <v>42000000</v>
      </c>
      <c r="X34" s="353">
        <f t="shared" si="18"/>
        <v>0.28023809523809518</v>
      </c>
      <c r="Y34" s="372">
        <v>21066255</v>
      </c>
      <c r="Z34" s="373" t="s">
        <v>411</v>
      </c>
      <c r="AA34" s="356">
        <f t="shared" si="19"/>
        <v>53770000</v>
      </c>
      <c r="AB34" s="270" t="s">
        <v>243</v>
      </c>
      <c r="AC34" s="475" t="s">
        <v>1</v>
      </c>
      <c r="AD34" s="358" t="s">
        <v>361</v>
      </c>
      <c r="AE34" s="358" t="s">
        <v>244</v>
      </c>
      <c r="AF34" s="359" t="str">
        <f t="shared" si="0"/>
        <v>CON-030</v>
      </c>
      <c r="AG34" s="270">
        <v>80111600</v>
      </c>
      <c r="AH34" s="249" t="s">
        <v>154</v>
      </c>
      <c r="AI34" s="301">
        <f t="shared" si="1"/>
        <v>45327</v>
      </c>
      <c r="AJ34" s="301">
        <f t="shared" si="20"/>
        <v>45327</v>
      </c>
      <c r="AK34" s="302">
        <f t="shared" si="2"/>
        <v>10</v>
      </c>
      <c r="AL34" s="303" t="s">
        <v>241</v>
      </c>
      <c r="AM34" s="304" t="s">
        <v>242</v>
      </c>
      <c r="AN34" s="305">
        <f t="shared" si="12"/>
        <v>53770000</v>
      </c>
      <c r="AO34" s="305">
        <f t="shared" si="21"/>
        <v>53770000</v>
      </c>
      <c r="AP34" s="303" t="s">
        <v>244</v>
      </c>
      <c r="AQ34" s="303" t="s">
        <v>245</v>
      </c>
      <c r="AR34" s="360" t="s">
        <v>246</v>
      </c>
      <c r="AS34" s="306" t="s">
        <v>247</v>
      </c>
      <c r="AT34" s="307" t="str">
        <f t="shared" si="3"/>
        <v>DESPACHO VAC</v>
      </c>
      <c r="AU34" s="308" t="s">
        <v>248</v>
      </c>
      <c r="AV34" s="361" t="s">
        <v>249</v>
      </c>
      <c r="AW34" s="303" t="s">
        <v>244</v>
      </c>
      <c r="AX34" s="303" t="s">
        <v>244</v>
      </c>
      <c r="AY34" s="362" t="s">
        <v>250</v>
      </c>
      <c r="AZ34" s="363" t="s">
        <v>251</v>
      </c>
      <c r="BA34" s="363" t="s">
        <v>252</v>
      </c>
      <c r="BB34" s="363" t="s">
        <v>250</v>
      </c>
      <c r="BC34" s="363"/>
      <c r="BD34" s="363"/>
    </row>
    <row r="35" spans="1:56" ht="96.75" customHeight="1" x14ac:dyDescent="0.2">
      <c r="A35" s="257" t="s">
        <v>282</v>
      </c>
      <c r="B35" s="299" t="s">
        <v>63</v>
      </c>
      <c r="C35" s="299" t="s">
        <v>13</v>
      </c>
      <c r="D35" s="299" t="s">
        <v>74</v>
      </c>
      <c r="E35" s="299" t="s">
        <v>93</v>
      </c>
      <c r="F35" s="350" t="s">
        <v>383</v>
      </c>
      <c r="G35" s="350" t="s">
        <v>374</v>
      </c>
      <c r="H35" s="299" t="s">
        <v>69</v>
      </c>
      <c r="I35" s="299">
        <v>6</v>
      </c>
      <c r="J35" s="251">
        <v>4200000</v>
      </c>
      <c r="K35" s="300">
        <f t="shared" si="14"/>
        <v>4.7619047619047672E-2</v>
      </c>
      <c r="L35" s="311">
        <f>IF(H35="OTRO",(J35*1.05),VLOOKUP((I35&amp;H35),'ESCALAS Salarios'!$D$2:$F$30,3,0))</f>
        <v>4400000</v>
      </c>
      <c r="M35" s="299">
        <v>1</v>
      </c>
      <c r="N35" s="299" t="s">
        <v>485</v>
      </c>
      <c r="O35" s="250">
        <v>45327</v>
      </c>
      <c r="P35" s="316">
        <v>45632</v>
      </c>
      <c r="Q35" s="312">
        <f t="shared" si="22"/>
        <v>44733333.333333328</v>
      </c>
      <c r="R35" s="250"/>
      <c r="S35" s="250"/>
      <c r="T35" s="312">
        <f t="shared" si="15"/>
        <v>0</v>
      </c>
      <c r="U35" s="318">
        <f t="shared" si="16"/>
        <v>10</v>
      </c>
      <c r="V35" s="352">
        <f t="shared" si="17"/>
        <v>44733333.333333328</v>
      </c>
      <c r="W35" s="313">
        <v>42000000</v>
      </c>
      <c r="X35" s="353">
        <f t="shared" si="18"/>
        <v>6.507936507936507E-2</v>
      </c>
      <c r="Y35" s="372">
        <v>1020734290</v>
      </c>
      <c r="Z35" s="373" t="s">
        <v>14</v>
      </c>
      <c r="AA35" s="356">
        <f t="shared" si="19"/>
        <v>44733333.333333328</v>
      </c>
      <c r="AB35" s="270" t="s">
        <v>243</v>
      </c>
      <c r="AC35" s="393" t="s">
        <v>1</v>
      </c>
      <c r="AD35" s="358" t="s">
        <v>361</v>
      </c>
      <c r="AE35" s="358" t="s">
        <v>244</v>
      </c>
      <c r="AF35" s="359" t="str">
        <f t="shared" si="0"/>
        <v>CON-031</v>
      </c>
      <c r="AG35" s="270">
        <v>80111600</v>
      </c>
      <c r="AH35" s="249" t="s">
        <v>155</v>
      </c>
      <c r="AI35" s="301">
        <f t="shared" si="1"/>
        <v>45327</v>
      </c>
      <c r="AJ35" s="301">
        <f t="shared" si="20"/>
        <v>45327</v>
      </c>
      <c r="AK35" s="302">
        <f t="shared" si="2"/>
        <v>10</v>
      </c>
      <c r="AL35" s="303" t="s">
        <v>241</v>
      </c>
      <c r="AM35" s="304" t="s">
        <v>242</v>
      </c>
      <c r="AN35" s="305">
        <f t="shared" si="12"/>
        <v>44733333.333333328</v>
      </c>
      <c r="AO35" s="305">
        <f t="shared" si="21"/>
        <v>44733333.333333328</v>
      </c>
      <c r="AP35" s="303" t="s">
        <v>244</v>
      </c>
      <c r="AQ35" s="303" t="s">
        <v>245</v>
      </c>
      <c r="AR35" s="360" t="s">
        <v>246</v>
      </c>
      <c r="AS35" s="306" t="s">
        <v>247</v>
      </c>
      <c r="AT35" s="307" t="str">
        <f t="shared" si="3"/>
        <v>DESPACHO VAC</v>
      </c>
      <c r="AU35" s="308" t="s">
        <v>248</v>
      </c>
      <c r="AV35" s="361" t="s">
        <v>249</v>
      </c>
      <c r="AW35" s="303" t="s">
        <v>244</v>
      </c>
      <c r="AX35" s="303" t="s">
        <v>244</v>
      </c>
      <c r="AY35" s="362" t="s">
        <v>250</v>
      </c>
      <c r="AZ35" s="363" t="s">
        <v>251</v>
      </c>
      <c r="BA35" s="363" t="s">
        <v>252</v>
      </c>
      <c r="BB35" s="363" t="s">
        <v>250</v>
      </c>
      <c r="BC35" s="363"/>
      <c r="BD35" s="363"/>
    </row>
    <row r="36" spans="1:56" ht="63.75" customHeight="1" x14ac:dyDescent="0.2">
      <c r="A36" s="257" t="s">
        <v>283</v>
      </c>
      <c r="B36" s="299" t="s">
        <v>63</v>
      </c>
      <c r="C36" s="299" t="s">
        <v>13</v>
      </c>
      <c r="D36" s="299" t="s">
        <v>74</v>
      </c>
      <c r="E36" s="299" t="s">
        <v>93</v>
      </c>
      <c r="F36" s="350" t="s">
        <v>383</v>
      </c>
      <c r="G36" s="350" t="s">
        <v>374</v>
      </c>
      <c r="H36" s="299" t="s">
        <v>69</v>
      </c>
      <c r="I36" s="299">
        <v>6</v>
      </c>
      <c r="J36" s="251">
        <v>4200000</v>
      </c>
      <c r="K36" s="300">
        <f t="shared" si="14"/>
        <v>4.7619047619047672E-2</v>
      </c>
      <c r="L36" s="311">
        <f>IF(H36="OTRO",(J36*1.05),VLOOKUP((I36&amp;H36),'ESCALAS Salarios'!$D$2:$F$30,3,0))</f>
        <v>4400000</v>
      </c>
      <c r="M36" s="299">
        <v>1</v>
      </c>
      <c r="N36" s="299" t="s">
        <v>485</v>
      </c>
      <c r="O36" s="250">
        <v>45327</v>
      </c>
      <c r="P36" s="316">
        <v>45632</v>
      </c>
      <c r="Q36" s="312">
        <v>44000000</v>
      </c>
      <c r="R36" s="250"/>
      <c r="S36" s="250"/>
      <c r="T36" s="312">
        <f t="shared" si="15"/>
        <v>0</v>
      </c>
      <c r="U36" s="318">
        <f t="shared" si="16"/>
        <v>10</v>
      </c>
      <c r="V36" s="352">
        <f t="shared" si="17"/>
        <v>44000000</v>
      </c>
      <c r="W36" s="313">
        <v>42700000</v>
      </c>
      <c r="X36" s="353">
        <f t="shared" si="18"/>
        <v>3.0444964871194413E-2</v>
      </c>
      <c r="Y36" s="372">
        <v>1032465025</v>
      </c>
      <c r="Z36" s="373" t="s">
        <v>496</v>
      </c>
      <c r="AA36" s="356">
        <f t="shared" si="19"/>
        <v>44000000</v>
      </c>
      <c r="AB36" s="270" t="s">
        <v>243</v>
      </c>
      <c r="AC36" s="393" t="s">
        <v>1</v>
      </c>
      <c r="AD36" s="358" t="s">
        <v>361</v>
      </c>
      <c r="AE36" s="358" t="s">
        <v>244</v>
      </c>
      <c r="AF36" s="359" t="str">
        <f t="shared" si="0"/>
        <v>CON-032</v>
      </c>
      <c r="AG36" s="270">
        <v>80111600</v>
      </c>
      <c r="AH36" s="249" t="s">
        <v>156</v>
      </c>
      <c r="AI36" s="301">
        <f t="shared" si="1"/>
        <v>45327</v>
      </c>
      <c r="AJ36" s="301">
        <f t="shared" si="20"/>
        <v>45327</v>
      </c>
      <c r="AK36" s="302">
        <f t="shared" si="2"/>
        <v>10</v>
      </c>
      <c r="AL36" s="303" t="s">
        <v>241</v>
      </c>
      <c r="AM36" s="304" t="s">
        <v>242</v>
      </c>
      <c r="AN36" s="305">
        <f t="shared" si="12"/>
        <v>44000000</v>
      </c>
      <c r="AO36" s="305">
        <f t="shared" si="21"/>
        <v>44000000</v>
      </c>
      <c r="AP36" s="303" t="s">
        <v>244</v>
      </c>
      <c r="AQ36" s="303" t="s">
        <v>245</v>
      </c>
      <c r="AR36" s="360" t="s">
        <v>246</v>
      </c>
      <c r="AS36" s="306" t="s">
        <v>247</v>
      </c>
      <c r="AT36" s="307" t="str">
        <f t="shared" si="3"/>
        <v>DESPACHO VAC</v>
      </c>
      <c r="AU36" s="308" t="s">
        <v>248</v>
      </c>
      <c r="AV36" s="361" t="s">
        <v>249</v>
      </c>
      <c r="AW36" s="303" t="s">
        <v>244</v>
      </c>
      <c r="AX36" s="303" t="s">
        <v>244</v>
      </c>
      <c r="AY36" s="362" t="s">
        <v>250</v>
      </c>
      <c r="AZ36" s="363" t="s">
        <v>251</v>
      </c>
      <c r="BA36" s="363" t="s">
        <v>252</v>
      </c>
      <c r="BB36" s="363" t="s">
        <v>250</v>
      </c>
      <c r="BC36" s="363"/>
      <c r="BD36" s="363"/>
    </row>
    <row r="37" spans="1:56" ht="76.5" customHeight="1" x14ac:dyDescent="0.2">
      <c r="A37" s="257" t="s">
        <v>284</v>
      </c>
      <c r="B37" s="299" t="s">
        <v>63</v>
      </c>
      <c r="C37" s="299" t="s">
        <v>13</v>
      </c>
      <c r="D37" s="299" t="s">
        <v>74</v>
      </c>
      <c r="E37" s="299" t="s">
        <v>93</v>
      </c>
      <c r="F37" s="350" t="s">
        <v>383</v>
      </c>
      <c r="G37" s="350" t="s">
        <v>374</v>
      </c>
      <c r="H37" s="299" t="s">
        <v>69</v>
      </c>
      <c r="I37" s="299">
        <v>6</v>
      </c>
      <c r="J37" s="251">
        <v>4200000</v>
      </c>
      <c r="K37" s="300">
        <f t="shared" si="14"/>
        <v>4.7619047619047672E-2</v>
      </c>
      <c r="L37" s="311">
        <f>IF(H37="OTRO",(J37*1.05),VLOOKUP((I37&amp;H37),'ESCALAS Salarios'!$D$2:$F$30,3,0))</f>
        <v>4400000</v>
      </c>
      <c r="M37" s="299">
        <v>1</v>
      </c>
      <c r="N37" s="299" t="s">
        <v>485</v>
      </c>
      <c r="O37" s="250">
        <v>45327</v>
      </c>
      <c r="P37" s="316">
        <v>45632</v>
      </c>
      <c r="Q37" s="312">
        <f t="shared" si="22"/>
        <v>44733333.333333328</v>
      </c>
      <c r="R37" s="250"/>
      <c r="S37" s="250"/>
      <c r="T37" s="312">
        <f t="shared" si="15"/>
        <v>0</v>
      </c>
      <c r="U37" s="318">
        <f t="shared" si="16"/>
        <v>10</v>
      </c>
      <c r="V37" s="352">
        <f t="shared" si="17"/>
        <v>44733333.333333328</v>
      </c>
      <c r="W37" s="313">
        <v>42700000</v>
      </c>
      <c r="X37" s="353">
        <f t="shared" si="18"/>
        <v>4.761904761904745E-2</v>
      </c>
      <c r="Y37" s="374">
        <v>1017175193</v>
      </c>
      <c r="Z37" s="373" t="s">
        <v>412</v>
      </c>
      <c r="AA37" s="356">
        <f t="shared" si="19"/>
        <v>44733333.333333328</v>
      </c>
      <c r="AB37" s="270" t="s">
        <v>243</v>
      </c>
      <c r="AC37" s="393" t="s">
        <v>1</v>
      </c>
      <c r="AD37" s="358" t="s">
        <v>361</v>
      </c>
      <c r="AE37" s="358" t="s">
        <v>244</v>
      </c>
      <c r="AF37" s="359" t="str">
        <f t="shared" si="0"/>
        <v>CON-033</v>
      </c>
      <c r="AG37" s="270">
        <v>80111600</v>
      </c>
      <c r="AH37" s="249" t="s">
        <v>157</v>
      </c>
      <c r="AI37" s="301">
        <f t="shared" si="1"/>
        <v>45327</v>
      </c>
      <c r="AJ37" s="301">
        <f t="shared" si="20"/>
        <v>45327</v>
      </c>
      <c r="AK37" s="302">
        <f t="shared" si="2"/>
        <v>10</v>
      </c>
      <c r="AL37" s="303" t="s">
        <v>241</v>
      </c>
      <c r="AM37" s="304" t="s">
        <v>242</v>
      </c>
      <c r="AN37" s="305">
        <f t="shared" si="12"/>
        <v>44733333.333333328</v>
      </c>
      <c r="AO37" s="305">
        <f t="shared" si="21"/>
        <v>44733333.333333328</v>
      </c>
      <c r="AP37" s="303" t="s">
        <v>244</v>
      </c>
      <c r="AQ37" s="303" t="s">
        <v>245</v>
      </c>
      <c r="AR37" s="360" t="s">
        <v>246</v>
      </c>
      <c r="AS37" s="306" t="s">
        <v>247</v>
      </c>
      <c r="AT37" s="307" t="str">
        <f t="shared" si="3"/>
        <v>DESPACHO VAC</v>
      </c>
      <c r="AU37" s="308" t="s">
        <v>248</v>
      </c>
      <c r="AV37" s="361" t="s">
        <v>249</v>
      </c>
      <c r="AW37" s="303" t="s">
        <v>244</v>
      </c>
      <c r="AX37" s="303" t="s">
        <v>244</v>
      </c>
      <c r="AY37" s="362" t="s">
        <v>250</v>
      </c>
      <c r="AZ37" s="363" t="s">
        <v>251</v>
      </c>
      <c r="BA37" s="363" t="s">
        <v>252</v>
      </c>
      <c r="BB37" s="363" t="s">
        <v>250</v>
      </c>
      <c r="BC37" s="363"/>
      <c r="BD37" s="363"/>
    </row>
    <row r="38" spans="1:56" ht="60" x14ac:dyDescent="0.2">
      <c r="A38" s="257" t="s">
        <v>285</v>
      </c>
      <c r="B38" s="299" t="s">
        <v>63</v>
      </c>
      <c r="C38" s="299" t="s">
        <v>13</v>
      </c>
      <c r="D38" s="299" t="s">
        <v>74</v>
      </c>
      <c r="E38" s="299"/>
      <c r="F38" s="350" t="s">
        <v>16</v>
      </c>
      <c r="G38" s="350" t="s">
        <v>72</v>
      </c>
      <c r="H38" s="299" t="s">
        <v>473</v>
      </c>
      <c r="I38" s="299"/>
      <c r="J38" s="311">
        <v>3524018.5909090908</v>
      </c>
      <c r="K38" s="300">
        <f t="shared" si="14"/>
        <v>0.10000000000000009</v>
      </c>
      <c r="L38" s="311">
        <f>+J38*1.1</f>
        <v>3876420.45</v>
      </c>
      <c r="M38" s="299">
        <v>1</v>
      </c>
      <c r="N38" s="299" t="s">
        <v>486</v>
      </c>
      <c r="O38" s="250">
        <v>45313</v>
      </c>
      <c r="P38" s="316">
        <v>45639</v>
      </c>
      <c r="Q38" s="312">
        <f t="shared" si="22"/>
        <v>42640624.950000003</v>
      </c>
      <c r="R38" s="250"/>
      <c r="S38" s="250"/>
      <c r="T38" s="312">
        <f t="shared" si="15"/>
        <v>0</v>
      </c>
      <c r="U38" s="318">
        <f t="shared" si="16"/>
        <v>11</v>
      </c>
      <c r="V38" s="352">
        <f t="shared" si="17"/>
        <v>42640624.950000003</v>
      </c>
      <c r="W38" s="313">
        <v>38764204.5</v>
      </c>
      <c r="X38" s="353">
        <f t="shared" si="18"/>
        <v>0.10000000000000009</v>
      </c>
      <c r="Y38" s="375"/>
      <c r="Z38" s="373" t="s">
        <v>17</v>
      </c>
      <c r="AA38" s="356">
        <f t="shared" si="19"/>
        <v>42640624.950000003</v>
      </c>
      <c r="AB38" s="270" t="s">
        <v>243</v>
      </c>
      <c r="AC38" s="393" t="s">
        <v>15</v>
      </c>
      <c r="AD38" s="358" t="s">
        <v>361</v>
      </c>
      <c r="AE38" s="358" t="s">
        <v>244</v>
      </c>
      <c r="AF38" s="359" t="str">
        <f t="shared" si="0"/>
        <v>CON-034</v>
      </c>
      <c r="AG38" s="270">
        <v>80111600</v>
      </c>
      <c r="AH38" s="249" t="s">
        <v>159</v>
      </c>
      <c r="AI38" s="301">
        <f t="shared" si="1"/>
        <v>45313</v>
      </c>
      <c r="AJ38" s="301">
        <f t="shared" si="20"/>
        <v>45313</v>
      </c>
      <c r="AK38" s="302">
        <f t="shared" si="2"/>
        <v>11</v>
      </c>
      <c r="AL38" s="303" t="s">
        <v>241</v>
      </c>
      <c r="AM38" s="304" t="s">
        <v>242</v>
      </c>
      <c r="AN38" s="305">
        <f t="shared" si="12"/>
        <v>42640624.950000003</v>
      </c>
      <c r="AO38" s="305">
        <f t="shared" si="21"/>
        <v>42640624.950000003</v>
      </c>
      <c r="AP38" s="303" t="s">
        <v>244</v>
      </c>
      <c r="AQ38" s="303" t="s">
        <v>245</v>
      </c>
      <c r="AR38" s="360" t="s">
        <v>246</v>
      </c>
      <c r="AS38" s="306" t="s">
        <v>247</v>
      </c>
      <c r="AT38" s="307" t="str">
        <f t="shared" si="3"/>
        <v>DESPACHO VAC</v>
      </c>
      <c r="AU38" s="308" t="s">
        <v>248</v>
      </c>
      <c r="AV38" s="361" t="s">
        <v>249</v>
      </c>
      <c r="AW38" s="303" t="s">
        <v>244</v>
      </c>
      <c r="AX38" s="303" t="s">
        <v>244</v>
      </c>
      <c r="AY38" s="362" t="s">
        <v>250</v>
      </c>
      <c r="AZ38" s="363" t="s">
        <v>251</v>
      </c>
      <c r="BA38" s="363" t="s">
        <v>252</v>
      </c>
      <c r="BB38" s="363" t="s">
        <v>250</v>
      </c>
      <c r="BC38" s="363"/>
      <c r="BD38" s="363"/>
    </row>
    <row r="39" spans="1:56" ht="87" customHeight="1" x14ac:dyDescent="0.2">
      <c r="A39" s="257" t="s">
        <v>286</v>
      </c>
      <c r="B39" s="299" t="s">
        <v>63</v>
      </c>
      <c r="C39" s="299" t="s">
        <v>13</v>
      </c>
      <c r="D39" s="299" t="s">
        <v>18</v>
      </c>
      <c r="E39" s="299"/>
      <c r="F39" s="350" t="s">
        <v>383</v>
      </c>
      <c r="G39" s="350" t="s">
        <v>374</v>
      </c>
      <c r="H39" s="299" t="s">
        <v>67</v>
      </c>
      <c r="I39" s="299">
        <v>1</v>
      </c>
      <c r="J39" s="251">
        <v>4550000</v>
      </c>
      <c r="K39" s="300">
        <f t="shared" si="14"/>
        <v>3.2967032967033072E-2</v>
      </c>
      <c r="L39" s="311">
        <f>IF(H39="OTRO",(J39*1.05),VLOOKUP((I39&amp;H39),'ESCALAS Salarios'!$D$2:$F$30,3,0))</f>
        <v>4700000</v>
      </c>
      <c r="M39" s="299">
        <v>1</v>
      </c>
      <c r="N39" s="299" t="s">
        <v>485</v>
      </c>
      <c r="O39" s="250">
        <v>45327</v>
      </c>
      <c r="P39" s="316">
        <v>45639</v>
      </c>
      <c r="Q39" s="312">
        <f t="shared" si="22"/>
        <v>48880000</v>
      </c>
      <c r="R39" s="250"/>
      <c r="S39" s="250"/>
      <c r="T39" s="312">
        <f t="shared" si="15"/>
        <v>0</v>
      </c>
      <c r="U39" s="318">
        <f t="shared" si="16"/>
        <v>10</v>
      </c>
      <c r="V39" s="352">
        <f t="shared" si="17"/>
        <v>48880000</v>
      </c>
      <c r="W39" s="313">
        <v>48078333.333333336</v>
      </c>
      <c r="X39" s="353">
        <f t="shared" si="18"/>
        <v>1.6674177557458369E-2</v>
      </c>
      <c r="Y39" s="375">
        <v>18001226</v>
      </c>
      <c r="Z39" s="373" t="s">
        <v>413</v>
      </c>
      <c r="AA39" s="356">
        <f t="shared" si="19"/>
        <v>48880000</v>
      </c>
      <c r="AB39" s="270" t="s">
        <v>243</v>
      </c>
      <c r="AC39" s="393" t="s">
        <v>1</v>
      </c>
      <c r="AD39" s="358" t="s">
        <v>361</v>
      </c>
      <c r="AE39" s="358" t="s">
        <v>244</v>
      </c>
      <c r="AF39" s="359" t="str">
        <f t="shared" si="0"/>
        <v>CON-035</v>
      </c>
      <c r="AG39" s="270">
        <v>80111600</v>
      </c>
      <c r="AH39" s="249" t="s">
        <v>160</v>
      </c>
      <c r="AI39" s="301">
        <f t="shared" si="1"/>
        <v>45327</v>
      </c>
      <c r="AJ39" s="301">
        <f t="shared" si="20"/>
        <v>45327</v>
      </c>
      <c r="AK39" s="302">
        <f t="shared" si="2"/>
        <v>10</v>
      </c>
      <c r="AL39" s="303" t="s">
        <v>241</v>
      </c>
      <c r="AM39" s="304" t="s">
        <v>242</v>
      </c>
      <c r="AN39" s="305">
        <f t="shared" si="12"/>
        <v>48880000</v>
      </c>
      <c r="AO39" s="305">
        <f t="shared" si="21"/>
        <v>48880000</v>
      </c>
      <c r="AP39" s="303" t="s">
        <v>244</v>
      </c>
      <c r="AQ39" s="303" t="s">
        <v>245</v>
      </c>
      <c r="AR39" s="360" t="s">
        <v>246</v>
      </c>
      <c r="AS39" s="306" t="s">
        <v>247</v>
      </c>
      <c r="AT39" s="307" t="str">
        <f t="shared" si="3"/>
        <v>SUBDIRECCIÓN DE ADMISIONES Y REGISTRO</v>
      </c>
      <c r="AU39" s="308" t="s">
        <v>248</v>
      </c>
      <c r="AV39" s="361" t="s">
        <v>249</v>
      </c>
      <c r="AW39" s="303" t="s">
        <v>244</v>
      </c>
      <c r="AX39" s="303" t="s">
        <v>244</v>
      </c>
      <c r="AY39" s="362" t="s">
        <v>250</v>
      </c>
      <c r="AZ39" s="363" t="s">
        <v>251</v>
      </c>
      <c r="BA39" s="363" t="s">
        <v>252</v>
      </c>
      <c r="BB39" s="363" t="s">
        <v>250</v>
      </c>
      <c r="BC39" s="363"/>
      <c r="BD39" s="363"/>
    </row>
    <row r="40" spans="1:56" ht="121.5" customHeight="1" x14ac:dyDescent="0.2">
      <c r="A40" s="257" t="s">
        <v>287</v>
      </c>
      <c r="B40" s="299" t="s">
        <v>63</v>
      </c>
      <c r="C40" s="299" t="s">
        <v>13</v>
      </c>
      <c r="D40" s="299" t="s">
        <v>18</v>
      </c>
      <c r="E40" s="299"/>
      <c r="F40" s="350" t="s">
        <v>383</v>
      </c>
      <c r="G40" s="350" t="s">
        <v>374</v>
      </c>
      <c r="H40" s="299" t="s">
        <v>67</v>
      </c>
      <c r="I40" s="299">
        <v>3</v>
      </c>
      <c r="J40" s="251">
        <v>5000000</v>
      </c>
      <c r="K40" s="300">
        <f t="shared" si="14"/>
        <v>7.0000000000000062E-2</v>
      </c>
      <c r="L40" s="311">
        <f>IF(H40="OTRO",(J40*1.05),VLOOKUP((I40&amp;H40),'ESCALAS Salarios'!$D$2:$F$30,3,0))</f>
        <v>5350000</v>
      </c>
      <c r="M40" s="299">
        <v>1</v>
      </c>
      <c r="N40" s="299" t="s">
        <v>485</v>
      </c>
      <c r="O40" s="250">
        <v>45327</v>
      </c>
      <c r="P40" s="316">
        <v>45639</v>
      </c>
      <c r="Q40" s="312">
        <f t="shared" si="22"/>
        <v>55640000</v>
      </c>
      <c r="R40" s="250"/>
      <c r="S40" s="250"/>
      <c r="T40" s="312">
        <f t="shared" si="15"/>
        <v>0</v>
      </c>
      <c r="U40" s="318">
        <f t="shared" si="16"/>
        <v>10</v>
      </c>
      <c r="V40" s="352">
        <f t="shared" si="17"/>
        <v>55640000</v>
      </c>
      <c r="W40" s="313">
        <v>52833333.333333336</v>
      </c>
      <c r="X40" s="353">
        <f t="shared" si="18"/>
        <v>5.3123028391167226E-2</v>
      </c>
      <c r="Y40" s="375">
        <v>19370679</v>
      </c>
      <c r="Z40" s="373" t="s">
        <v>414</v>
      </c>
      <c r="AA40" s="356">
        <f t="shared" si="19"/>
        <v>55640000</v>
      </c>
      <c r="AB40" s="270" t="s">
        <v>243</v>
      </c>
      <c r="AC40" s="393" t="s">
        <v>1</v>
      </c>
      <c r="AD40" s="358" t="s">
        <v>361</v>
      </c>
      <c r="AE40" s="358" t="s">
        <v>244</v>
      </c>
      <c r="AF40" s="359" t="str">
        <f t="shared" si="0"/>
        <v>CON-036</v>
      </c>
      <c r="AG40" s="270">
        <v>80111600</v>
      </c>
      <c r="AH40" s="249" t="s">
        <v>161</v>
      </c>
      <c r="AI40" s="301">
        <f t="shared" si="1"/>
        <v>45327</v>
      </c>
      <c r="AJ40" s="301">
        <f t="shared" si="20"/>
        <v>45327</v>
      </c>
      <c r="AK40" s="302">
        <f t="shared" si="2"/>
        <v>10</v>
      </c>
      <c r="AL40" s="303" t="s">
        <v>241</v>
      </c>
      <c r="AM40" s="304" t="s">
        <v>242</v>
      </c>
      <c r="AN40" s="305">
        <f t="shared" si="12"/>
        <v>55640000</v>
      </c>
      <c r="AO40" s="305">
        <f t="shared" si="21"/>
        <v>55640000</v>
      </c>
      <c r="AP40" s="303" t="s">
        <v>244</v>
      </c>
      <c r="AQ40" s="303" t="s">
        <v>245</v>
      </c>
      <c r="AR40" s="360" t="s">
        <v>246</v>
      </c>
      <c r="AS40" s="306" t="s">
        <v>247</v>
      </c>
      <c r="AT40" s="307" t="str">
        <f t="shared" si="3"/>
        <v>SUBDIRECCIÓN DE ADMISIONES Y REGISTRO</v>
      </c>
      <c r="AU40" s="308" t="s">
        <v>248</v>
      </c>
      <c r="AV40" s="361" t="s">
        <v>249</v>
      </c>
      <c r="AW40" s="303" t="s">
        <v>244</v>
      </c>
      <c r="AX40" s="303" t="s">
        <v>244</v>
      </c>
      <c r="AY40" s="362" t="s">
        <v>250</v>
      </c>
      <c r="AZ40" s="363" t="s">
        <v>251</v>
      </c>
      <c r="BA40" s="363" t="s">
        <v>252</v>
      </c>
      <c r="BB40" s="363" t="s">
        <v>250</v>
      </c>
      <c r="BC40" s="363"/>
      <c r="BD40" s="363"/>
    </row>
    <row r="41" spans="1:56" ht="48" x14ac:dyDescent="0.2">
      <c r="A41" s="257" t="s">
        <v>288</v>
      </c>
      <c r="B41" s="299" t="s">
        <v>63</v>
      </c>
      <c r="C41" s="299" t="s">
        <v>13</v>
      </c>
      <c r="D41" s="299" t="s">
        <v>20</v>
      </c>
      <c r="E41" s="299"/>
      <c r="F41" s="350" t="s">
        <v>16</v>
      </c>
      <c r="G41" s="350" t="s">
        <v>72</v>
      </c>
      <c r="H41" s="299" t="s">
        <v>473</v>
      </c>
      <c r="I41" s="299"/>
      <c r="J41" s="311">
        <v>3610558.6871454548</v>
      </c>
      <c r="K41" s="300">
        <f t="shared" si="14"/>
        <v>0.87450214397452464</v>
      </c>
      <c r="L41" s="311">
        <v>6768000</v>
      </c>
      <c r="M41" s="299">
        <v>1</v>
      </c>
      <c r="N41" s="299" t="s">
        <v>486</v>
      </c>
      <c r="O41" s="250">
        <v>45327</v>
      </c>
      <c r="P41" s="316">
        <v>45639</v>
      </c>
      <c r="Q41" s="312">
        <f t="shared" si="22"/>
        <v>67680000</v>
      </c>
      <c r="R41" s="250"/>
      <c r="S41" s="250"/>
      <c r="T41" s="312">
        <f t="shared" si="15"/>
        <v>0</v>
      </c>
      <c r="U41" s="318">
        <f t="shared" si="16"/>
        <v>10</v>
      </c>
      <c r="V41" s="352">
        <f t="shared" si="17"/>
        <v>67680000</v>
      </c>
      <c r="W41" s="313">
        <v>39716145.558600001</v>
      </c>
      <c r="X41" s="353">
        <f t="shared" si="18"/>
        <v>0.70409285815865874</v>
      </c>
      <c r="Y41" s="313"/>
      <c r="Z41" s="355" t="s">
        <v>19</v>
      </c>
      <c r="AA41" s="356">
        <f t="shared" si="19"/>
        <v>67680000</v>
      </c>
      <c r="AB41" s="270" t="s">
        <v>243</v>
      </c>
      <c r="AC41" s="393" t="s">
        <v>15</v>
      </c>
      <c r="AD41" s="358" t="s">
        <v>244</v>
      </c>
      <c r="AE41" s="358" t="s">
        <v>244</v>
      </c>
      <c r="AF41" s="359" t="str">
        <f t="shared" si="0"/>
        <v>CON-037</v>
      </c>
      <c r="AG41" s="270">
        <v>80111600</v>
      </c>
      <c r="AH41" s="249" t="s">
        <v>678</v>
      </c>
      <c r="AI41" s="301">
        <f t="shared" si="1"/>
        <v>45327</v>
      </c>
      <c r="AJ41" s="301">
        <f t="shared" si="20"/>
        <v>45327</v>
      </c>
      <c r="AK41" s="302">
        <f t="shared" si="2"/>
        <v>10</v>
      </c>
      <c r="AL41" s="303" t="s">
        <v>241</v>
      </c>
      <c r="AM41" s="304" t="s">
        <v>242</v>
      </c>
      <c r="AN41" s="305">
        <f t="shared" si="12"/>
        <v>67680000</v>
      </c>
      <c r="AO41" s="305">
        <f t="shared" si="21"/>
        <v>67680000</v>
      </c>
      <c r="AP41" s="303" t="s">
        <v>244</v>
      </c>
      <c r="AQ41" s="303" t="s">
        <v>245</v>
      </c>
      <c r="AR41" s="360" t="s">
        <v>246</v>
      </c>
      <c r="AS41" s="306" t="s">
        <v>247</v>
      </c>
      <c r="AT41" s="307" t="str">
        <f t="shared" si="3"/>
        <v>COMITÉ DE ASIGNACION Y RECONOCIMIENTO DE  PUNTAJE - CIARP</v>
      </c>
      <c r="AU41" s="308" t="s">
        <v>248</v>
      </c>
      <c r="AV41" s="361" t="s">
        <v>249</v>
      </c>
      <c r="AW41" s="303" t="s">
        <v>244</v>
      </c>
      <c r="AX41" s="303" t="s">
        <v>244</v>
      </c>
      <c r="AY41" s="362" t="s">
        <v>250</v>
      </c>
      <c r="AZ41" s="363" t="s">
        <v>251</v>
      </c>
      <c r="BA41" s="363" t="s">
        <v>252</v>
      </c>
      <c r="BB41" s="363" t="s">
        <v>250</v>
      </c>
      <c r="BC41" s="363"/>
      <c r="BD41" s="363"/>
    </row>
    <row r="42" spans="1:56" ht="66.75" customHeight="1" x14ac:dyDescent="0.2">
      <c r="A42" s="257" t="s">
        <v>629</v>
      </c>
      <c r="B42" s="299" t="s">
        <v>63</v>
      </c>
      <c r="C42" s="299" t="s">
        <v>13</v>
      </c>
      <c r="D42" s="299" t="s">
        <v>21</v>
      </c>
      <c r="E42" s="299"/>
      <c r="F42" s="350" t="s">
        <v>16</v>
      </c>
      <c r="G42" s="350" t="s">
        <v>72</v>
      </c>
      <c r="H42" s="299" t="s">
        <v>473</v>
      </c>
      <c r="I42" s="299"/>
      <c r="J42" s="311">
        <v>7287254.4545454541</v>
      </c>
      <c r="K42" s="300">
        <f t="shared" si="14"/>
        <v>0.1080000000000001</v>
      </c>
      <c r="L42" s="311">
        <f>+J42*1.108</f>
        <v>8074277.9356363639</v>
      </c>
      <c r="M42" s="299">
        <v>1</v>
      </c>
      <c r="N42" s="299" t="s">
        <v>486</v>
      </c>
      <c r="O42" s="250">
        <v>45313</v>
      </c>
      <c r="P42" s="316">
        <v>45632</v>
      </c>
      <c r="Q42" s="312">
        <f t="shared" si="22"/>
        <v>88817057.291999996</v>
      </c>
      <c r="R42" s="250"/>
      <c r="S42" s="250"/>
      <c r="T42" s="312">
        <f t="shared" si="15"/>
        <v>0</v>
      </c>
      <c r="U42" s="318">
        <f t="shared" si="16"/>
        <v>11</v>
      </c>
      <c r="V42" s="352">
        <f t="shared" si="17"/>
        <v>88817057.291999996</v>
      </c>
      <c r="W42" s="313">
        <v>80159799</v>
      </c>
      <c r="X42" s="353">
        <f t="shared" si="18"/>
        <v>0.10799999999999987</v>
      </c>
      <c r="Y42" s="313"/>
      <c r="Z42" s="355" t="s">
        <v>19</v>
      </c>
      <c r="AA42" s="356">
        <f t="shared" si="19"/>
        <v>88817057.291999996</v>
      </c>
      <c r="AB42" s="270" t="s">
        <v>243</v>
      </c>
      <c r="AC42" s="393" t="s">
        <v>15</v>
      </c>
      <c r="AD42" s="358" t="s">
        <v>361</v>
      </c>
      <c r="AE42" s="358" t="s">
        <v>244</v>
      </c>
      <c r="AF42" s="359" t="str">
        <f t="shared" si="0"/>
        <v>CON-038</v>
      </c>
      <c r="AG42" s="270">
        <v>80111600</v>
      </c>
      <c r="AH42" s="249" t="s">
        <v>688</v>
      </c>
      <c r="AI42" s="301">
        <f t="shared" si="1"/>
        <v>45313</v>
      </c>
      <c r="AJ42" s="301">
        <f t="shared" si="20"/>
        <v>45313</v>
      </c>
      <c r="AK42" s="302">
        <f t="shared" si="2"/>
        <v>11</v>
      </c>
      <c r="AL42" s="303" t="s">
        <v>241</v>
      </c>
      <c r="AM42" s="304" t="s">
        <v>242</v>
      </c>
      <c r="AN42" s="305">
        <f t="shared" si="12"/>
        <v>88817057.291999996</v>
      </c>
      <c r="AO42" s="305">
        <f t="shared" si="21"/>
        <v>88817057.291999996</v>
      </c>
      <c r="AP42" s="303" t="s">
        <v>244</v>
      </c>
      <c r="AQ42" s="303" t="s">
        <v>245</v>
      </c>
      <c r="AR42" s="360" t="s">
        <v>246</v>
      </c>
      <c r="AS42" s="306" t="s">
        <v>247</v>
      </c>
      <c r="AT42" s="307" t="str">
        <f t="shared" si="3"/>
        <v>DOCTORADO INTERINSTITUCIONAL EN EDUCACIÓN</v>
      </c>
      <c r="AU42" s="308" t="s">
        <v>248</v>
      </c>
      <c r="AV42" s="361" t="s">
        <v>249</v>
      </c>
      <c r="AW42" s="303" t="s">
        <v>244</v>
      </c>
      <c r="AX42" s="303" t="s">
        <v>244</v>
      </c>
      <c r="AY42" s="362" t="s">
        <v>250</v>
      </c>
      <c r="AZ42" s="363" t="s">
        <v>251</v>
      </c>
      <c r="BA42" s="363" t="s">
        <v>252</v>
      </c>
      <c r="BB42" s="363" t="s">
        <v>250</v>
      </c>
      <c r="BC42" s="363"/>
      <c r="BD42" s="363"/>
    </row>
    <row r="43" spans="1:56" ht="155.25" customHeight="1" x14ac:dyDescent="0.2">
      <c r="A43" s="257" t="s">
        <v>289</v>
      </c>
      <c r="B43" s="299" t="s">
        <v>63</v>
      </c>
      <c r="C43" s="299" t="s">
        <v>13</v>
      </c>
      <c r="D43" s="299" t="s">
        <v>22</v>
      </c>
      <c r="E43" s="299" t="s">
        <v>77</v>
      </c>
      <c r="F43" s="350" t="s">
        <v>383</v>
      </c>
      <c r="G43" s="350" t="s">
        <v>374</v>
      </c>
      <c r="H43" s="299" t="s">
        <v>69</v>
      </c>
      <c r="I43" s="299">
        <v>6</v>
      </c>
      <c r="J43" s="251">
        <v>4200000</v>
      </c>
      <c r="K43" s="300">
        <f t="shared" si="14"/>
        <v>4.7619047619047672E-2</v>
      </c>
      <c r="L43" s="311">
        <f>IF(H43="OTRO",(J43*1.05),VLOOKUP((I43&amp;H43),'ESCALAS Salarios'!$D$2:$F$30,3,0))</f>
        <v>4400000</v>
      </c>
      <c r="M43" s="299">
        <v>1</v>
      </c>
      <c r="N43" s="299" t="s">
        <v>485</v>
      </c>
      <c r="O43" s="250">
        <v>45327</v>
      </c>
      <c r="P43" s="316">
        <v>45641</v>
      </c>
      <c r="Q43" s="312">
        <f t="shared" si="22"/>
        <v>46053333.333333336</v>
      </c>
      <c r="R43" s="250"/>
      <c r="S43" s="250"/>
      <c r="T43" s="312">
        <f t="shared" si="15"/>
        <v>0</v>
      </c>
      <c r="U43" s="318">
        <f t="shared" si="16"/>
        <v>10</v>
      </c>
      <c r="V43" s="352">
        <f t="shared" si="17"/>
        <v>46053333.333333336</v>
      </c>
      <c r="W43" s="313">
        <v>44380000</v>
      </c>
      <c r="X43" s="353">
        <f t="shared" si="18"/>
        <v>3.7704671774072551E-2</v>
      </c>
      <c r="Y43" s="375">
        <v>1018461794</v>
      </c>
      <c r="Z43" s="373" t="s">
        <v>415</v>
      </c>
      <c r="AA43" s="356">
        <f t="shared" si="19"/>
        <v>46053333.333333336</v>
      </c>
      <c r="AB43" s="270" t="s">
        <v>243</v>
      </c>
      <c r="AC43" s="393" t="s">
        <v>1</v>
      </c>
      <c r="AD43" s="358" t="s">
        <v>361</v>
      </c>
      <c r="AE43" s="358" t="s">
        <v>244</v>
      </c>
      <c r="AF43" s="359" t="str">
        <f t="shared" si="0"/>
        <v>CON-039</v>
      </c>
      <c r="AG43" s="270">
        <v>80111600</v>
      </c>
      <c r="AH43" s="249" t="s">
        <v>165</v>
      </c>
      <c r="AI43" s="301">
        <f t="shared" si="1"/>
        <v>45327</v>
      </c>
      <c r="AJ43" s="301">
        <f t="shared" si="20"/>
        <v>45327</v>
      </c>
      <c r="AK43" s="302">
        <f t="shared" si="2"/>
        <v>10</v>
      </c>
      <c r="AL43" s="303" t="s">
        <v>241</v>
      </c>
      <c r="AM43" s="304" t="s">
        <v>242</v>
      </c>
      <c r="AN43" s="305">
        <f t="shared" si="12"/>
        <v>46053333.333333336</v>
      </c>
      <c r="AO43" s="305">
        <f t="shared" si="21"/>
        <v>46053333.333333336</v>
      </c>
      <c r="AP43" s="303" t="s">
        <v>244</v>
      </c>
      <c r="AQ43" s="303" t="s">
        <v>245</v>
      </c>
      <c r="AR43" s="360" t="s">
        <v>246</v>
      </c>
      <c r="AS43" s="306" t="s">
        <v>247</v>
      </c>
      <c r="AT43" s="307" t="str">
        <f t="shared" si="3"/>
        <v>FACULTAD DE CIENCIA Y TECNOLOGÍA</v>
      </c>
      <c r="AU43" s="308" t="s">
        <v>248</v>
      </c>
      <c r="AV43" s="361" t="s">
        <v>249</v>
      </c>
      <c r="AW43" s="303" t="s">
        <v>244</v>
      </c>
      <c r="AX43" s="303" t="s">
        <v>244</v>
      </c>
      <c r="AY43" s="362" t="s">
        <v>250</v>
      </c>
      <c r="AZ43" s="363" t="s">
        <v>251</v>
      </c>
      <c r="BA43" s="363" t="s">
        <v>252</v>
      </c>
      <c r="BB43" s="363" t="s">
        <v>250</v>
      </c>
      <c r="BC43" s="363"/>
      <c r="BD43" s="363"/>
    </row>
    <row r="44" spans="1:56" ht="84" x14ac:dyDescent="0.2">
      <c r="A44" s="257" t="s">
        <v>290</v>
      </c>
      <c r="B44" s="299" t="s">
        <v>63</v>
      </c>
      <c r="C44" s="299" t="s">
        <v>13</v>
      </c>
      <c r="D44" s="299" t="s">
        <v>22</v>
      </c>
      <c r="E44" s="299" t="s">
        <v>77</v>
      </c>
      <c r="F44" s="350" t="s">
        <v>383</v>
      </c>
      <c r="G44" s="350" t="s">
        <v>374</v>
      </c>
      <c r="H44" s="299" t="s">
        <v>69</v>
      </c>
      <c r="I44" s="299">
        <v>6</v>
      </c>
      <c r="J44" s="251">
        <v>4200000</v>
      </c>
      <c r="K44" s="300">
        <f t="shared" si="14"/>
        <v>4.7619047619047672E-2</v>
      </c>
      <c r="L44" s="311">
        <f>IF(H44="OTRO",(J44*1.05),VLOOKUP((I44&amp;H44),'ESCALAS Salarios'!$D$2:$F$30,3,0))</f>
        <v>4400000</v>
      </c>
      <c r="M44" s="299">
        <v>1</v>
      </c>
      <c r="N44" s="299" t="s">
        <v>485</v>
      </c>
      <c r="O44" s="250">
        <v>45313</v>
      </c>
      <c r="P44" s="316">
        <v>45626</v>
      </c>
      <c r="Q44" s="312">
        <f t="shared" si="22"/>
        <v>45906666.666666664</v>
      </c>
      <c r="R44" s="250"/>
      <c r="S44" s="250"/>
      <c r="T44" s="312">
        <f t="shared" si="15"/>
        <v>0</v>
      </c>
      <c r="U44" s="318">
        <f t="shared" si="16"/>
        <v>10</v>
      </c>
      <c r="V44" s="352">
        <f t="shared" si="17"/>
        <v>45906666.666666664</v>
      </c>
      <c r="W44" s="313">
        <v>44380000</v>
      </c>
      <c r="X44" s="353">
        <f t="shared" si="18"/>
        <v>3.4399879825747215E-2</v>
      </c>
      <c r="Y44" s="375">
        <v>1109387206</v>
      </c>
      <c r="Z44" s="373" t="s">
        <v>416</v>
      </c>
      <c r="AA44" s="356">
        <f t="shared" si="19"/>
        <v>45906666.666666664</v>
      </c>
      <c r="AB44" s="270" t="s">
        <v>243</v>
      </c>
      <c r="AC44" s="393" t="s">
        <v>1</v>
      </c>
      <c r="AD44" s="358" t="s">
        <v>361</v>
      </c>
      <c r="AE44" s="358" t="s">
        <v>244</v>
      </c>
      <c r="AF44" s="359" t="str">
        <f t="shared" si="0"/>
        <v>CON-040</v>
      </c>
      <c r="AG44" s="270">
        <v>80111600</v>
      </c>
      <c r="AH44" s="249" t="s">
        <v>676</v>
      </c>
      <c r="AI44" s="301" t="s">
        <v>677</v>
      </c>
      <c r="AJ44" s="301" t="str">
        <f t="shared" si="20"/>
        <v>enero</v>
      </c>
      <c r="AK44" s="302">
        <f t="shared" si="2"/>
        <v>10</v>
      </c>
      <c r="AL44" s="303" t="s">
        <v>241</v>
      </c>
      <c r="AM44" s="304" t="s">
        <v>242</v>
      </c>
      <c r="AN44" s="305">
        <f t="shared" si="12"/>
        <v>45906666.666666664</v>
      </c>
      <c r="AO44" s="305">
        <f t="shared" si="21"/>
        <v>45906666.666666664</v>
      </c>
      <c r="AP44" s="303" t="s">
        <v>244</v>
      </c>
      <c r="AQ44" s="303" t="s">
        <v>245</v>
      </c>
      <c r="AR44" s="360" t="s">
        <v>246</v>
      </c>
      <c r="AS44" s="306" t="s">
        <v>247</v>
      </c>
      <c r="AT44" s="307" t="str">
        <f t="shared" si="3"/>
        <v>FACULTAD DE CIENCIA Y TECNOLOGÍA</v>
      </c>
      <c r="AU44" s="308" t="s">
        <v>248</v>
      </c>
      <c r="AV44" s="361" t="s">
        <v>249</v>
      </c>
      <c r="AW44" s="303" t="s">
        <v>244</v>
      </c>
      <c r="AX44" s="303" t="s">
        <v>244</v>
      </c>
      <c r="AY44" s="362" t="s">
        <v>250</v>
      </c>
      <c r="AZ44" s="363" t="s">
        <v>251</v>
      </c>
      <c r="BA44" s="363" t="s">
        <v>252</v>
      </c>
      <c r="BB44" s="363" t="s">
        <v>250</v>
      </c>
      <c r="BC44" s="363"/>
      <c r="BD44" s="363"/>
    </row>
    <row r="45" spans="1:56" ht="72" x14ac:dyDescent="0.2">
      <c r="A45" s="257" t="s">
        <v>291</v>
      </c>
      <c r="B45" s="299" t="s">
        <v>63</v>
      </c>
      <c r="C45" s="299" t="s">
        <v>13</v>
      </c>
      <c r="D45" s="299" t="s">
        <v>22</v>
      </c>
      <c r="E45" s="299" t="s">
        <v>77</v>
      </c>
      <c r="F45" s="350" t="s">
        <v>383</v>
      </c>
      <c r="G45" s="350" t="s">
        <v>374</v>
      </c>
      <c r="H45" s="299" t="s">
        <v>69</v>
      </c>
      <c r="I45" s="299">
        <v>6</v>
      </c>
      <c r="J45" s="251">
        <v>4200000</v>
      </c>
      <c r="K45" s="300">
        <f t="shared" si="14"/>
        <v>4.7619047619047672E-2</v>
      </c>
      <c r="L45" s="311">
        <f>IF(H45="OTRO",(J45*1.05),VLOOKUP((I45&amp;H45),'ESCALAS Salarios'!$D$2:$F$30,3,0))</f>
        <v>4400000</v>
      </c>
      <c r="M45" s="299">
        <v>1</v>
      </c>
      <c r="N45" s="299" t="s">
        <v>485</v>
      </c>
      <c r="O45" s="250">
        <v>45327</v>
      </c>
      <c r="P45" s="316">
        <v>45641</v>
      </c>
      <c r="Q45" s="312">
        <f t="shared" si="22"/>
        <v>46053333.333333336</v>
      </c>
      <c r="R45" s="250"/>
      <c r="S45" s="250"/>
      <c r="T45" s="312">
        <f t="shared" si="15"/>
        <v>0</v>
      </c>
      <c r="U45" s="318">
        <f t="shared" si="16"/>
        <v>10</v>
      </c>
      <c r="V45" s="352">
        <f t="shared" si="17"/>
        <v>46053333.333333336</v>
      </c>
      <c r="W45" s="313">
        <v>44380000</v>
      </c>
      <c r="X45" s="353">
        <f t="shared" si="18"/>
        <v>3.7704671774072551E-2</v>
      </c>
      <c r="Y45" s="375">
        <v>1023963626</v>
      </c>
      <c r="Z45" s="373" t="s">
        <v>417</v>
      </c>
      <c r="AA45" s="356">
        <f t="shared" si="19"/>
        <v>46053333.333333336</v>
      </c>
      <c r="AB45" s="270" t="s">
        <v>243</v>
      </c>
      <c r="AC45" s="393" t="s">
        <v>1</v>
      </c>
      <c r="AD45" s="358" t="s">
        <v>361</v>
      </c>
      <c r="AE45" s="358" t="s">
        <v>244</v>
      </c>
      <c r="AF45" s="359" t="str">
        <f t="shared" si="0"/>
        <v>CON-041</v>
      </c>
      <c r="AG45" s="270">
        <v>80111600</v>
      </c>
      <c r="AH45" s="249" t="s">
        <v>167</v>
      </c>
      <c r="AI45" s="301">
        <f t="shared" si="1"/>
        <v>45327</v>
      </c>
      <c r="AJ45" s="301">
        <f t="shared" si="20"/>
        <v>45327</v>
      </c>
      <c r="AK45" s="302">
        <f t="shared" si="2"/>
        <v>10</v>
      </c>
      <c r="AL45" s="303" t="s">
        <v>241</v>
      </c>
      <c r="AM45" s="304" t="s">
        <v>242</v>
      </c>
      <c r="AN45" s="305">
        <f t="shared" si="12"/>
        <v>46053333.333333336</v>
      </c>
      <c r="AO45" s="305">
        <f t="shared" si="21"/>
        <v>46053333.333333336</v>
      </c>
      <c r="AP45" s="303" t="s">
        <v>244</v>
      </c>
      <c r="AQ45" s="303" t="s">
        <v>245</v>
      </c>
      <c r="AR45" s="360" t="s">
        <v>246</v>
      </c>
      <c r="AS45" s="306" t="s">
        <v>247</v>
      </c>
      <c r="AT45" s="307" t="str">
        <f t="shared" si="3"/>
        <v>FACULTAD DE CIENCIA Y TECNOLOGÍA</v>
      </c>
      <c r="AU45" s="308" t="s">
        <v>248</v>
      </c>
      <c r="AV45" s="361" t="s">
        <v>249</v>
      </c>
      <c r="AW45" s="303" t="s">
        <v>244</v>
      </c>
      <c r="AX45" s="303" t="s">
        <v>244</v>
      </c>
      <c r="AY45" s="362" t="s">
        <v>250</v>
      </c>
      <c r="AZ45" s="363" t="s">
        <v>251</v>
      </c>
      <c r="BA45" s="363" t="s">
        <v>252</v>
      </c>
      <c r="BB45" s="363" t="s">
        <v>250</v>
      </c>
      <c r="BC45" s="363"/>
      <c r="BD45" s="363"/>
    </row>
    <row r="46" spans="1:56" ht="153" customHeight="1" x14ac:dyDescent="0.2">
      <c r="A46" s="257" t="s">
        <v>292</v>
      </c>
      <c r="B46" s="299" t="s">
        <v>63</v>
      </c>
      <c r="C46" s="299" t="s">
        <v>13</v>
      </c>
      <c r="D46" s="299" t="s">
        <v>22</v>
      </c>
      <c r="E46" s="299" t="s">
        <v>77</v>
      </c>
      <c r="F46" s="350" t="s">
        <v>481</v>
      </c>
      <c r="G46" s="350" t="s">
        <v>374</v>
      </c>
      <c r="H46" s="299" t="s">
        <v>71</v>
      </c>
      <c r="I46" s="299">
        <v>5</v>
      </c>
      <c r="J46" s="251">
        <v>2000000</v>
      </c>
      <c r="K46" s="300">
        <f t="shared" si="14"/>
        <v>5.0000000000000044E-2</v>
      </c>
      <c r="L46" s="311">
        <f>IF(H46="OTRO",(J46*1.05),VLOOKUP((I46&amp;H46),'ESCALAS Salarios'!$D$2:$F$30,3,0))</f>
        <v>2100000</v>
      </c>
      <c r="M46" s="299">
        <v>1</v>
      </c>
      <c r="N46" s="299" t="s">
        <v>485</v>
      </c>
      <c r="O46" s="250">
        <v>45327</v>
      </c>
      <c r="P46" s="316">
        <v>45641</v>
      </c>
      <c r="Q46" s="312">
        <f t="shared" si="22"/>
        <v>21980000</v>
      </c>
      <c r="R46" s="250"/>
      <c r="S46" s="250"/>
      <c r="T46" s="312">
        <f t="shared" si="15"/>
        <v>0</v>
      </c>
      <c r="U46" s="318">
        <f t="shared" si="16"/>
        <v>10</v>
      </c>
      <c r="V46" s="352">
        <f t="shared" si="17"/>
        <v>21980000</v>
      </c>
      <c r="W46" s="313">
        <v>20800000</v>
      </c>
      <c r="X46" s="353">
        <f t="shared" si="18"/>
        <v>5.6730769230769251E-2</v>
      </c>
      <c r="Y46" s="375">
        <v>1033762889</v>
      </c>
      <c r="Z46" s="373" t="s">
        <v>418</v>
      </c>
      <c r="AA46" s="356">
        <f t="shared" si="19"/>
        <v>21980000</v>
      </c>
      <c r="AB46" s="270" t="s">
        <v>243</v>
      </c>
      <c r="AC46" s="393" t="s">
        <v>1</v>
      </c>
      <c r="AD46" s="358" t="s">
        <v>361</v>
      </c>
      <c r="AE46" s="358" t="s">
        <v>244</v>
      </c>
      <c r="AF46" s="359" t="str">
        <f t="shared" si="0"/>
        <v>CON-042</v>
      </c>
      <c r="AG46" s="270">
        <v>80111600</v>
      </c>
      <c r="AH46" s="249" t="s">
        <v>168</v>
      </c>
      <c r="AI46" s="301">
        <f t="shared" si="1"/>
        <v>45327</v>
      </c>
      <c r="AJ46" s="301">
        <f t="shared" si="20"/>
        <v>45327</v>
      </c>
      <c r="AK46" s="302">
        <f t="shared" si="2"/>
        <v>10</v>
      </c>
      <c r="AL46" s="303" t="s">
        <v>241</v>
      </c>
      <c r="AM46" s="304" t="s">
        <v>242</v>
      </c>
      <c r="AN46" s="305">
        <f t="shared" si="12"/>
        <v>21980000</v>
      </c>
      <c r="AO46" s="305">
        <f t="shared" si="21"/>
        <v>21980000</v>
      </c>
      <c r="AP46" s="303" t="s">
        <v>244</v>
      </c>
      <c r="AQ46" s="303" t="s">
        <v>245</v>
      </c>
      <c r="AR46" s="360" t="s">
        <v>246</v>
      </c>
      <c r="AS46" s="306" t="s">
        <v>247</v>
      </c>
      <c r="AT46" s="307" t="str">
        <f t="shared" si="3"/>
        <v>FACULTAD DE CIENCIA Y TECNOLOGÍA</v>
      </c>
      <c r="AU46" s="308" t="s">
        <v>248</v>
      </c>
      <c r="AV46" s="361" t="s">
        <v>249</v>
      </c>
      <c r="AW46" s="303" t="s">
        <v>244</v>
      </c>
      <c r="AX46" s="303" t="s">
        <v>244</v>
      </c>
      <c r="AY46" s="362" t="s">
        <v>250</v>
      </c>
      <c r="AZ46" s="363" t="s">
        <v>251</v>
      </c>
      <c r="BA46" s="363" t="s">
        <v>252</v>
      </c>
      <c r="BB46" s="363" t="s">
        <v>250</v>
      </c>
      <c r="BC46" s="363"/>
      <c r="BD46" s="363"/>
    </row>
    <row r="47" spans="1:56" ht="59.25" customHeight="1" x14ac:dyDescent="0.2">
      <c r="A47" s="257" t="s">
        <v>293</v>
      </c>
      <c r="B47" s="299" t="s">
        <v>63</v>
      </c>
      <c r="C47" s="299" t="s">
        <v>78</v>
      </c>
      <c r="D47" s="299" t="s">
        <v>79</v>
      </c>
      <c r="E47" s="299"/>
      <c r="F47" s="350" t="s">
        <v>383</v>
      </c>
      <c r="G47" s="350" t="s">
        <v>374</v>
      </c>
      <c r="H47" s="299" t="s">
        <v>69</v>
      </c>
      <c r="I47" s="299">
        <v>3</v>
      </c>
      <c r="J47" s="251">
        <v>3400000</v>
      </c>
      <c r="K47" s="300">
        <f t="shared" si="14"/>
        <v>5.8823529411764719E-2</v>
      </c>
      <c r="L47" s="311">
        <f>IF(H47="OTRO",(J47*1.05),VLOOKUP((I47&amp;H47),'ESCALAS Salarios'!$D$2:$F$30,3,0))</f>
        <v>3600000</v>
      </c>
      <c r="M47" s="299">
        <v>1</v>
      </c>
      <c r="N47" s="299" t="s">
        <v>485</v>
      </c>
      <c r="O47" s="250">
        <v>45327</v>
      </c>
      <c r="P47" s="316">
        <v>45641</v>
      </c>
      <c r="Q47" s="312">
        <f t="shared" si="22"/>
        <v>37680000</v>
      </c>
      <c r="R47" s="250"/>
      <c r="S47" s="250"/>
      <c r="T47" s="312">
        <f t="shared" si="15"/>
        <v>0</v>
      </c>
      <c r="U47" s="318">
        <f t="shared" si="16"/>
        <v>10</v>
      </c>
      <c r="V47" s="352">
        <f t="shared" si="17"/>
        <v>37680000</v>
      </c>
      <c r="W47" s="313">
        <v>35926666.666666664</v>
      </c>
      <c r="X47" s="353">
        <f t="shared" si="18"/>
        <v>4.8803117461495793E-2</v>
      </c>
      <c r="Y47" s="375">
        <v>1031140889</v>
      </c>
      <c r="Z47" s="376" t="s">
        <v>419</v>
      </c>
      <c r="AA47" s="356">
        <f t="shared" si="19"/>
        <v>37680000</v>
      </c>
      <c r="AB47" s="270" t="s">
        <v>243</v>
      </c>
      <c r="AC47" s="393" t="s">
        <v>1</v>
      </c>
      <c r="AD47" s="358" t="s">
        <v>361</v>
      </c>
      <c r="AE47" s="358" t="s">
        <v>244</v>
      </c>
      <c r="AF47" s="359" t="str">
        <f t="shared" si="0"/>
        <v>CON-043</v>
      </c>
      <c r="AG47" s="270">
        <v>80111600</v>
      </c>
      <c r="AH47" s="249" t="s">
        <v>366</v>
      </c>
      <c r="AI47" s="301">
        <f t="shared" si="1"/>
        <v>45327</v>
      </c>
      <c r="AJ47" s="301">
        <f t="shared" si="20"/>
        <v>45327</v>
      </c>
      <c r="AK47" s="302">
        <f t="shared" si="2"/>
        <v>10</v>
      </c>
      <c r="AL47" s="303" t="s">
        <v>241</v>
      </c>
      <c r="AM47" s="304" t="s">
        <v>242</v>
      </c>
      <c r="AN47" s="305">
        <f t="shared" si="12"/>
        <v>37680000</v>
      </c>
      <c r="AO47" s="305">
        <f t="shared" si="21"/>
        <v>37680000</v>
      </c>
      <c r="AP47" s="303" t="s">
        <v>244</v>
      </c>
      <c r="AQ47" s="303" t="s">
        <v>245</v>
      </c>
      <c r="AR47" s="360" t="s">
        <v>246</v>
      </c>
      <c r="AS47" s="306" t="s">
        <v>247</v>
      </c>
      <c r="AT47" s="307" t="str">
        <f t="shared" si="3"/>
        <v>GRUPO EDITORIAL</v>
      </c>
      <c r="AU47" s="308" t="s">
        <v>248</v>
      </c>
      <c r="AV47" s="361" t="s">
        <v>249</v>
      </c>
      <c r="AW47" s="303" t="s">
        <v>244</v>
      </c>
      <c r="AX47" s="303" t="s">
        <v>244</v>
      </c>
      <c r="AY47" s="362" t="s">
        <v>250</v>
      </c>
      <c r="AZ47" s="363" t="s">
        <v>251</v>
      </c>
      <c r="BA47" s="363" t="s">
        <v>252</v>
      </c>
      <c r="BB47" s="363" t="s">
        <v>250</v>
      </c>
      <c r="BC47" s="363"/>
      <c r="BD47" s="363"/>
    </row>
    <row r="48" spans="1:56" ht="48" x14ac:dyDescent="0.2">
      <c r="A48" s="257" t="s">
        <v>294</v>
      </c>
      <c r="B48" s="299" t="s">
        <v>63</v>
      </c>
      <c r="C48" s="299" t="s">
        <v>78</v>
      </c>
      <c r="D48" s="299" t="s">
        <v>79</v>
      </c>
      <c r="E48" s="299"/>
      <c r="F48" s="350" t="s">
        <v>383</v>
      </c>
      <c r="G48" s="350" t="s">
        <v>374</v>
      </c>
      <c r="H48" s="299" t="s">
        <v>69</v>
      </c>
      <c r="I48" s="299">
        <v>3</v>
      </c>
      <c r="J48" s="251">
        <v>3400000</v>
      </c>
      <c r="K48" s="300">
        <f t="shared" si="14"/>
        <v>5.8823529411764719E-2</v>
      </c>
      <c r="L48" s="311">
        <f>IF(H48="OTRO",(J48*1.05),VLOOKUP((I48&amp;H48),'ESCALAS Salarios'!$D$2:$F$30,3,0))</f>
        <v>3600000</v>
      </c>
      <c r="M48" s="299">
        <v>1</v>
      </c>
      <c r="N48" s="299" t="s">
        <v>485</v>
      </c>
      <c r="O48" s="250">
        <v>45327</v>
      </c>
      <c r="P48" s="316">
        <v>45641</v>
      </c>
      <c r="Q48" s="312">
        <f t="shared" si="22"/>
        <v>37680000</v>
      </c>
      <c r="R48" s="250"/>
      <c r="S48" s="250"/>
      <c r="T48" s="312">
        <f t="shared" si="15"/>
        <v>0</v>
      </c>
      <c r="U48" s="318">
        <f t="shared" si="16"/>
        <v>10</v>
      </c>
      <c r="V48" s="352">
        <f t="shared" si="17"/>
        <v>37680000</v>
      </c>
      <c r="W48" s="313">
        <v>35926666.666666664</v>
      </c>
      <c r="X48" s="353">
        <f t="shared" si="18"/>
        <v>4.8803117461495793E-2</v>
      </c>
      <c r="Y48" s="375">
        <v>51974426</v>
      </c>
      <c r="Z48" s="376" t="s">
        <v>420</v>
      </c>
      <c r="AA48" s="356">
        <f t="shared" si="19"/>
        <v>37680000</v>
      </c>
      <c r="AB48" s="270" t="s">
        <v>243</v>
      </c>
      <c r="AC48" s="393" t="s">
        <v>1</v>
      </c>
      <c r="AD48" s="358" t="s">
        <v>361</v>
      </c>
      <c r="AE48" s="358" t="s">
        <v>244</v>
      </c>
      <c r="AF48" s="359" t="str">
        <f t="shared" si="0"/>
        <v>CON-044</v>
      </c>
      <c r="AG48" s="270">
        <v>80111600</v>
      </c>
      <c r="AH48" s="249" t="s">
        <v>367</v>
      </c>
      <c r="AI48" s="301">
        <f t="shared" si="1"/>
        <v>45327</v>
      </c>
      <c r="AJ48" s="301">
        <f t="shared" si="20"/>
        <v>45327</v>
      </c>
      <c r="AK48" s="302">
        <f t="shared" si="2"/>
        <v>10</v>
      </c>
      <c r="AL48" s="303" t="s">
        <v>241</v>
      </c>
      <c r="AM48" s="304" t="s">
        <v>242</v>
      </c>
      <c r="AN48" s="305">
        <f t="shared" si="12"/>
        <v>37680000</v>
      </c>
      <c r="AO48" s="305">
        <f t="shared" si="21"/>
        <v>37680000</v>
      </c>
      <c r="AP48" s="303" t="s">
        <v>244</v>
      </c>
      <c r="AQ48" s="303" t="s">
        <v>245</v>
      </c>
      <c r="AR48" s="360" t="s">
        <v>246</v>
      </c>
      <c r="AS48" s="306" t="s">
        <v>247</v>
      </c>
      <c r="AT48" s="307" t="str">
        <f t="shared" si="3"/>
        <v>GRUPO EDITORIAL</v>
      </c>
      <c r="AU48" s="308" t="s">
        <v>248</v>
      </c>
      <c r="AV48" s="361" t="s">
        <v>249</v>
      </c>
      <c r="AW48" s="303" t="s">
        <v>244</v>
      </c>
      <c r="AX48" s="303" t="s">
        <v>244</v>
      </c>
      <c r="AY48" s="362" t="s">
        <v>250</v>
      </c>
      <c r="AZ48" s="363" t="s">
        <v>251</v>
      </c>
      <c r="BA48" s="363" t="s">
        <v>252</v>
      </c>
      <c r="BB48" s="363" t="s">
        <v>250</v>
      </c>
      <c r="BC48" s="363"/>
      <c r="BD48" s="363"/>
    </row>
    <row r="49" spans="1:56" ht="48" x14ac:dyDescent="0.2">
      <c r="A49" s="257" t="s">
        <v>295</v>
      </c>
      <c r="B49" s="299" t="s">
        <v>63</v>
      </c>
      <c r="C49" s="299" t="s">
        <v>78</v>
      </c>
      <c r="D49" s="299" t="s">
        <v>79</v>
      </c>
      <c r="E49" s="299"/>
      <c r="F49" s="350" t="s">
        <v>383</v>
      </c>
      <c r="G49" s="350" t="s">
        <v>374</v>
      </c>
      <c r="H49" s="299" t="s">
        <v>69</v>
      </c>
      <c r="I49" s="299">
        <v>1</v>
      </c>
      <c r="J49" s="251">
        <v>3000000</v>
      </c>
      <c r="K49" s="300">
        <f t="shared" si="14"/>
        <v>3.3333333333333437E-2</v>
      </c>
      <c r="L49" s="311">
        <f>IF(H49="OTRO",(J49*1.05),VLOOKUP((I49&amp;H49),'ESCALAS Salarios'!$D$2:$F$30,3,0))</f>
        <v>3100000</v>
      </c>
      <c r="M49" s="299">
        <v>1</v>
      </c>
      <c r="N49" s="299" t="s">
        <v>485</v>
      </c>
      <c r="O49" s="250">
        <v>45327</v>
      </c>
      <c r="P49" s="316">
        <v>45641</v>
      </c>
      <c r="Q49" s="312">
        <f t="shared" si="22"/>
        <v>32446666.666666668</v>
      </c>
      <c r="R49" s="250"/>
      <c r="S49" s="250"/>
      <c r="T49" s="312">
        <f t="shared" si="15"/>
        <v>0</v>
      </c>
      <c r="U49" s="318">
        <f t="shared" si="16"/>
        <v>10</v>
      </c>
      <c r="V49" s="352">
        <f t="shared" si="17"/>
        <v>32446666.666666668</v>
      </c>
      <c r="W49" s="313">
        <v>31700000</v>
      </c>
      <c r="X49" s="353">
        <f t="shared" si="18"/>
        <v>2.3554153522607812E-2</v>
      </c>
      <c r="Y49" s="375">
        <v>1000950846</v>
      </c>
      <c r="Z49" s="376" t="s">
        <v>421</v>
      </c>
      <c r="AA49" s="356">
        <f t="shared" si="19"/>
        <v>32446666.666666668</v>
      </c>
      <c r="AB49" s="270" t="s">
        <v>243</v>
      </c>
      <c r="AC49" s="393" t="s">
        <v>1</v>
      </c>
      <c r="AD49" s="358" t="s">
        <v>361</v>
      </c>
      <c r="AE49" s="358" t="s">
        <v>244</v>
      </c>
      <c r="AF49" s="359" t="str">
        <f t="shared" si="0"/>
        <v>CON-045</v>
      </c>
      <c r="AG49" s="270">
        <v>80111600</v>
      </c>
      <c r="AH49" s="249" t="s">
        <v>368</v>
      </c>
      <c r="AI49" s="301">
        <f t="shared" si="1"/>
        <v>45327</v>
      </c>
      <c r="AJ49" s="301">
        <f t="shared" si="20"/>
        <v>45327</v>
      </c>
      <c r="AK49" s="302">
        <f t="shared" si="2"/>
        <v>10</v>
      </c>
      <c r="AL49" s="303" t="s">
        <v>241</v>
      </c>
      <c r="AM49" s="304" t="s">
        <v>242</v>
      </c>
      <c r="AN49" s="305">
        <f t="shared" si="12"/>
        <v>32446666.666666668</v>
      </c>
      <c r="AO49" s="305">
        <f t="shared" si="21"/>
        <v>32446666.666666668</v>
      </c>
      <c r="AP49" s="303" t="s">
        <v>244</v>
      </c>
      <c r="AQ49" s="303" t="s">
        <v>245</v>
      </c>
      <c r="AR49" s="360" t="s">
        <v>246</v>
      </c>
      <c r="AS49" s="306" t="s">
        <v>247</v>
      </c>
      <c r="AT49" s="307" t="str">
        <f t="shared" si="3"/>
        <v>GRUPO EDITORIAL</v>
      </c>
      <c r="AU49" s="308" t="s">
        <v>248</v>
      </c>
      <c r="AV49" s="361" t="s">
        <v>249</v>
      </c>
      <c r="AW49" s="303" t="s">
        <v>244</v>
      </c>
      <c r="AX49" s="303" t="s">
        <v>244</v>
      </c>
      <c r="AY49" s="362" t="s">
        <v>250</v>
      </c>
      <c r="AZ49" s="363" t="s">
        <v>251</v>
      </c>
      <c r="BA49" s="363" t="s">
        <v>252</v>
      </c>
      <c r="BB49" s="363" t="s">
        <v>250</v>
      </c>
      <c r="BC49" s="363"/>
      <c r="BD49" s="363"/>
    </row>
    <row r="50" spans="1:56" ht="48" x14ac:dyDescent="0.2">
      <c r="A50" s="257" t="s">
        <v>630</v>
      </c>
      <c r="B50" s="299" t="s">
        <v>63</v>
      </c>
      <c r="C50" s="299" t="s">
        <v>78</v>
      </c>
      <c r="D50" s="299" t="s">
        <v>79</v>
      </c>
      <c r="E50" s="299"/>
      <c r="F50" s="350" t="s">
        <v>383</v>
      </c>
      <c r="G50" s="350" t="s">
        <v>374</v>
      </c>
      <c r="H50" s="299" t="s">
        <v>69</v>
      </c>
      <c r="I50" s="299">
        <v>1</v>
      </c>
      <c r="J50" s="251">
        <v>3000000</v>
      </c>
      <c r="K50" s="300">
        <f t="shared" si="14"/>
        <v>3.3333333333333437E-2</v>
      </c>
      <c r="L50" s="311">
        <f>IF(H50="OTRO",(J50*1.05),VLOOKUP((I50&amp;H50),'ESCALAS Salarios'!$D$2:$F$30,3,0))</f>
        <v>3100000</v>
      </c>
      <c r="M50" s="299">
        <v>1</v>
      </c>
      <c r="N50" s="299" t="s">
        <v>485</v>
      </c>
      <c r="O50" s="250">
        <v>45327</v>
      </c>
      <c r="P50" s="316">
        <v>45641</v>
      </c>
      <c r="Q50" s="312">
        <f t="shared" si="22"/>
        <v>32446666.666666668</v>
      </c>
      <c r="R50" s="250"/>
      <c r="S50" s="250"/>
      <c r="T50" s="312">
        <f t="shared" si="15"/>
        <v>0</v>
      </c>
      <c r="U50" s="318">
        <f t="shared" si="16"/>
        <v>10</v>
      </c>
      <c r="V50" s="352">
        <f t="shared" si="17"/>
        <v>32446666.666666668</v>
      </c>
      <c r="W50" s="313">
        <v>27000000</v>
      </c>
      <c r="X50" s="353">
        <f t="shared" si="18"/>
        <v>0.20172839506172835</v>
      </c>
      <c r="Y50" s="375">
        <v>1019128363</v>
      </c>
      <c r="Z50" s="376" t="s">
        <v>422</v>
      </c>
      <c r="AA50" s="356">
        <f t="shared" si="19"/>
        <v>32446666.666666668</v>
      </c>
      <c r="AB50" s="270" t="s">
        <v>243</v>
      </c>
      <c r="AC50" s="393" t="s">
        <v>1</v>
      </c>
      <c r="AD50" s="358" t="s">
        <v>361</v>
      </c>
      <c r="AE50" s="358" t="s">
        <v>244</v>
      </c>
      <c r="AF50" s="359" t="str">
        <f t="shared" ref="AF50:AF81" si="37">"CON-"&amp;A50</f>
        <v>CON-046</v>
      </c>
      <c r="AG50" s="270">
        <v>80111600</v>
      </c>
      <c r="AH50" s="249" t="s">
        <v>387</v>
      </c>
      <c r="AI50" s="301">
        <f t="shared" ref="AI50:AI81" si="38">+O50</f>
        <v>45327</v>
      </c>
      <c r="AJ50" s="301">
        <f t="shared" si="20"/>
        <v>45327</v>
      </c>
      <c r="AK50" s="302">
        <f t="shared" ref="AK50:AK66" si="39">+U50</f>
        <v>10</v>
      </c>
      <c r="AL50" s="303" t="s">
        <v>241</v>
      </c>
      <c r="AM50" s="304" t="s">
        <v>242</v>
      </c>
      <c r="AN50" s="305">
        <f t="shared" ref="AN50:AN66" si="40">+V50</f>
        <v>32446666.666666668</v>
      </c>
      <c r="AO50" s="305">
        <f t="shared" si="21"/>
        <v>32446666.666666668</v>
      </c>
      <c r="AP50" s="303" t="s">
        <v>244</v>
      </c>
      <c r="AQ50" s="303" t="s">
        <v>245</v>
      </c>
      <c r="AR50" s="360" t="s">
        <v>246</v>
      </c>
      <c r="AS50" s="306" t="s">
        <v>247</v>
      </c>
      <c r="AT50" s="307" t="str">
        <f t="shared" ref="AT50:AT81" si="41">D50</f>
        <v>GRUPO EDITORIAL</v>
      </c>
      <c r="AU50" s="308" t="s">
        <v>248</v>
      </c>
      <c r="AV50" s="361" t="s">
        <v>249</v>
      </c>
      <c r="AW50" s="303" t="s">
        <v>244</v>
      </c>
      <c r="AX50" s="303" t="s">
        <v>244</v>
      </c>
      <c r="AY50" s="362" t="s">
        <v>250</v>
      </c>
      <c r="AZ50" s="363" t="s">
        <v>251</v>
      </c>
      <c r="BA50" s="363" t="s">
        <v>252</v>
      </c>
      <c r="BB50" s="363" t="s">
        <v>250</v>
      </c>
      <c r="BC50" s="363"/>
      <c r="BD50" s="363"/>
    </row>
    <row r="51" spans="1:56" ht="48" x14ac:dyDescent="0.2">
      <c r="A51" s="257" t="s">
        <v>296</v>
      </c>
      <c r="B51" s="299" t="s">
        <v>63</v>
      </c>
      <c r="C51" s="299" t="s">
        <v>78</v>
      </c>
      <c r="D51" s="299" t="s">
        <v>79</v>
      </c>
      <c r="E51" s="299"/>
      <c r="F51" s="350" t="s">
        <v>383</v>
      </c>
      <c r="G51" s="350" t="s">
        <v>374</v>
      </c>
      <c r="H51" s="299" t="s">
        <v>69</v>
      </c>
      <c r="I51" s="299">
        <v>4</v>
      </c>
      <c r="J51" s="251">
        <v>3750000</v>
      </c>
      <c r="K51" s="300">
        <f t="shared" si="14"/>
        <v>4.0000000000000036E-2</v>
      </c>
      <c r="L51" s="311">
        <f>IF(H51="OTRO",(J51*1.05),VLOOKUP((I51&amp;H51),'ESCALAS Salarios'!$D$2:$F$30,3,0))</f>
        <v>3900000</v>
      </c>
      <c r="M51" s="299">
        <v>1</v>
      </c>
      <c r="N51" s="299" t="s">
        <v>485</v>
      </c>
      <c r="O51" s="250">
        <v>45327</v>
      </c>
      <c r="P51" s="316">
        <v>45641</v>
      </c>
      <c r="Q51" s="312">
        <f t="shared" si="22"/>
        <v>40820000</v>
      </c>
      <c r="R51" s="250"/>
      <c r="S51" s="250"/>
      <c r="T51" s="312">
        <f t="shared" si="15"/>
        <v>0</v>
      </c>
      <c r="U51" s="318">
        <f t="shared" si="16"/>
        <v>10</v>
      </c>
      <c r="V51" s="352">
        <f t="shared" si="17"/>
        <v>40820000</v>
      </c>
      <c r="W51" s="313">
        <v>39625000</v>
      </c>
      <c r="X51" s="353">
        <f t="shared" si="18"/>
        <v>3.0157728706624587E-2</v>
      </c>
      <c r="Y51" s="375">
        <v>1032380730</v>
      </c>
      <c r="Z51" s="376" t="s">
        <v>423</v>
      </c>
      <c r="AA51" s="356">
        <f t="shared" si="19"/>
        <v>40820000</v>
      </c>
      <c r="AB51" s="270" t="s">
        <v>243</v>
      </c>
      <c r="AC51" s="393" t="s">
        <v>1</v>
      </c>
      <c r="AD51" s="358" t="s">
        <v>361</v>
      </c>
      <c r="AE51" s="358" t="s">
        <v>244</v>
      </c>
      <c r="AF51" s="359" t="str">
        <f t="shared" si="37"/>
        <v>CON-047</v>
      </c>
      <c r="AG51" s="270">
        <v>80111600</v>
      </c>
      <c r="AH51" s="249" t="s">
        <v>369</v>
      </c>
      <c r="AI51" s="301">
        <f t="shared" si="38"/>
        <v>45327</v>
      </c>
      <c r="AJ51" s="301">
        <f t="shared" si="20"/>
        <v>45327</v>
      </c>
      <c r="AK51" s="302">
        <f t="shared" si="39"/>
        <v>10</v>
      </c>
      <c r="AL51" s="303" t="s">
        <v>241</v>
      </c>
      <c r="AM51" s="304" t="s">
        <v>242</v>
      </c>
      <c r="AN51" s="305">
        <f t="shared" si="40"/>
        <v>40820000</v>
      </c>
      <c r="AO51" s="305">
        <f t="shared" si="21"/>
        <v>40820000</v>
      </c>
      <c r="AP51" s="303" t="s">
        <v>244</v>
      </c>
      <c r="AQ51" s="303" t="s">
        <v>245</v>
      </c>
      <c r="AR51" s="360" t="s">
        <v>246</v>
      </c>
      <c r="AS51" s="306" t="s">
        <v>247</v>
      </c>
      <c r="AT51" s="307" t="str">
        <f t="shared" si="41"/>
        <v>GRUPO EDITORIAL</v>
      </c>
      <c r="AU51" s="308" t="s">
        <v>248</v>
      </c>
      <c r="AV51" s="361" t="s">
        <v>249</v>
      </c>
      <c r="AW51" s="303" t="s">
        <v>244</v>
      </c>
      <c r="AX51" s="303" t="s">
        <v>244</v>
      </c>
      <c r="AY51" s="362" t="s">
        <v>250</v>
      </c>
      <c r="AZ51" s="363" t="s">
        <v>251</v>
      </c>
      <c r="BA51" s="363" t="s">
        <v>252</v>
      </c>
      <c r="BB51" s="363" t="s">
        <v>250</v>
      </c>
      <c r="BC51" s="363"/>
      <c r="BD51" s="363"/>
    </row>
    <row r="52" spans="1:56" ht="36" x14ac:dyDescent="0.2">
      <c r="A52" s="257" t="s">
        <v>297</v>
      </c>
      <c r="B52" s="299" t="s">
        <v>63</v>
      </c>
      <c r="C52" s="299" t="s">
        <v>78</v>
      </c>
      <c r="D52" s="299" t="s">
        <v>79</v>
      </c>
      <c r="E52" s="299"/>
      <c r="F52" s="350" t="s">
        <v>383</v>
      </c>
      <c r="G52" s="350" t="s">
        <v>374</v>
      </c>
      <c r="H52" s="299" t="s">
        <v>67</v>
      </c>
      <c r="I52" s="299">
        <v>1</v>
      </c>
      <c r="J52" s="251">
        <v>4550000</v>
      </c>
      <c r="K52" s="300">
        <f t="shared" si="14"/>
        <v>3.2967032967033072E-2</v>
      </c>
      <c r="L52" s="311">
        <f>IF(H52="OTRO",(J52*1.05),VLOOKUP((I52&amp;H52),'ESCALAS Salarios'!$D$2:$F$30,3,0))</f>
        <v>4700000</v>
      </c>
      <c r="M52" s="299">
        <v>1</v>
      </c>
      <c r="N52" s="299" t="s">
        <v>485</v>
      </c>
      <c r="O52" s="250">
        <v>45327</v>
      </c>
      <c r="P52" s="316">
        <v>45641</v>
      </c>
      <c r="Q52" s="312">
        <f t="shared" si="22"/>
        <v>49193333.333333336</v>
      </c>
      <c r="R52" s="250"/>
      <c r="S52" s="250"/>
      <c r="T52" s="312">
        <f t="shared" si="15"/>
        <v>0</v>
      </c>
      <c r="U52" s="318">
        <f t="shared" si="16"/>
        <v>10</v>
      </c>
      <c r="V52" s="352">
        <f t="shared" si="17"/>
        <v>49193333.333333336</v>
      </c>
      <c r="W52" s="313">
        <v>48078333.333333336</v>
      </c>
      <c r="X52" s="353">
        <f t="shared" si="18"/>
        <v>2.3191319721288073E-2</v>
      </c>
      <c r="Y52" s="375">
        <v>7177488</v>
      </c>
      <c r="Z52" s="376" t="s">
        <v>24</v>
      </c>
      <c r="AA52" s="356">
        <f t="shared" si="19"/>
        <v>49193333.333333336</v>
      </c>
      <c r="AB52" s="270" t="s">
        <v>243</v>
      </c>
      <c r="AC52" s="393" t="s">
        <v>1</v>
      </c>
      <c r="AD52" s="358" t="s">
        <v>361</v>
      </c>
      <c r="AE52" s="358" t="s">
        <v>244</v>
      </c>
      <c r="AF52" s="359" t="str">
        <f t="shared" si="37"/>
        <v>CON-048</v>
      </c>
      <c r="AG52" s="270">
        <v>80111600</v>
      </c>
      <c r="AH52" s="249" t="s">
        <v>370</v>
      </c>
      <c r="AI52" s="301">
        <f t="shared" si="38"/>
        <v>45327</v>
      </c>
      <c r="AJ52" s="301">
        <f t="shared" si="20"/>
        <v>45327</v>
      </c>
      <c r="AK52" s="302">
        <f t="shared" si="39"/>
        <v>10</v>
      </c>
      <c r="AL52" s="303" t="s">
        <v>241</v>
      </c>
      <c r="AM52" s="304" t="s">
        <v>242</v>
      </c>
      <c r="AN52" s="305">
        <f t="shared" si="40"/>
        <v>49193333.333333336</v>
      </c>
      <c r="AO52" s="305">
        <f t="shared" si="21"/>
        <v>49193333.333333336</v>
      </c>
      <c r="AP52" s="303" t="s">
        <v>244</v>
      </c>
      <c r="AQ52" s="303" t="s">
        <v>245</v>
      </c>
      <c r="AR52" s="360" t="s">
        <v>246</v>
      </c>
      <c r="AS52" s="306" t="s">
        <v>247</v>
      </c>
      <c r="AT52" s="307" t="str">
        <f t="shared" si="41"/>
        <v>GRUPO EDITORIAL</v>
      </c>
      <c r="AU52" s="308" t="s">
        <v>248</v>
      </c>
      <c r="AV52" s="361" t="s">
        <v>249</v>
      </c>
      <c r="AW52" s="303" t="s">
        <v>244</v>
      </c>
      <c r="AX52" s="303" t="s">
        <v>244</v>
      </c>
      <c r="AY52" s="362" t="s">
        <v>250</v>
      </c>
      <c r="AZ52" s="363" t="s">
        <v>251</v>
      </c>
      <c r="BA52" s="363" t="s">
        <v>252</v>
      </c>
      <c r="BB52" s="363" t="s">
        <v>250</v>
      </c>
      <c r="BC52" s="363"/>
      <c r="BD52" s="363"/>
    </row>
    <row r="53" spans="1:56" ht="60" x14ac:dyDescent="0.2">
      <c r="A53" s="257" t="s">
        <v>631</v>
      </c>
      <c r="B53" s="299" t="s">
        <v>63</v>
      </c>
      <c r="C53" s="299" t="s">
        <v>25</v>
      </c>
      <c r="D53" s="299" t="s">
        <v>80</v>
      </c>
      <c r="E53" s="299"/>
      <c r="F53" s="350" t="s">
        <v>383</v>
      </c>
      <c r="G53" s="350" t="s">
        <v>374</v>
      </c>
      <c r="H53" s="299" t="s">
        <v>67</v>
      </c>
      <c r="I53" s="299">
        <v>6</v>
      </c>
      <c r="J53" s="251">
        <v>6000000</v>
      </c>
      <c r="K53" s="300">
        <f t="shared" si="14"/>
        <v>3.3333333333333437E-2</v>
      </c>
      <c r="L53" s="311">
        <f>IF(H53="OTRO",(J53*1.05),VLOOKUP((I53&amp;H53),'ESCALAS Salarios'!$D$2:$F$30,3,0))</f>
        <v>6200000</v>
      </c>
      <c r="M53" s="299">
        <v>1</v>
      </c>
      <c r="N53" s="299" t="s">
        <v>485</v>
      </c>
      <c r="O53" s="250">
        <v>45327</v>
      </c>
      <c r="P53" s="316">
        <v>45653</v>
      </c>
      <c r="Q53" s="312">
        <f t="shared" si="22"/>
        <v>67373333.333333343</v>
      </c>
      <c r="R53" s="250"/>
      <c r="S53" s="250"/>
      <c r="T53" s="312">
        <f t="shared" si="15"/>
        <v>0</v>
      </c>
      <c r="U53" s="318">
        <f t="shared" si="16"/>
        <v>11</v>
      </c>
      <c r="V53" s="352">
        <f t="shared" si="17"/>
        <v>67373333.333333343</v>
      </c>
      <c r="W53" s="313">
        <v>57000000</v>
      </c>
      <c r="X53" s="353">
        <f t="shared" si="18"/>
        <v>0.18198830409356748</v>
      </c>
      <c r="Y53" s="375">
        <v>52209009</v>
      </c>
      <c r="Z53" s="376" t="s">
        <v>424</v>
      </c>
      <c r="AA53" s="356">
        <f t="shared" si="19"/>
        <v>67373333.333333343</v>
      </c>
      <c r="AB53" s="270" t="s">
        <v>243</v>
      </c>
      <c r="AC53" s="393" t="s">
        <v>1</v>
      </c>
      <c r="AD53" s="358" t="s">
        <v>361</v>
      </c>
      <c r="AE53" s="358" t="s">
        <v>244</v>
      </c>
      <c r="AF53" s="359" t="str">
        <f t="shared" si="37"/>
        <v>CON-049</v>
      </c>
      <c r="AG53" s="270">
        <v>80111600</v>
      </c>
      <c r="AH53" s="249" t="s">
        <v>386</v>
      </c>
      <c r="AI53" s="301">
        <f t="shared" si="38"/>
        <v>45327</v>
      </c>
      <c r="AJ53" s="301">
        <f t="shared" si="20"/>
        <v>45327</v>
      </c>
      <c r="AK53" s="302">
        <f t="shared" si="39"/>
        <v>11</v>
      </c>
      <c r="AL53" s="303" t="s">
        <v>241</v>
      </c>
      <c r="AM53" s="304" t="s">
        <v>242</v>
      </c>
      <c r="AN53" s="305">
        <f t="shared" si="40"/>
        <v>67373333.333333343</v>
      </c>
      <c r="AO53" s="305">
        <f t="shared" si="21"/>
        <v>67373333.333333343</v>
      </c>
      <c r="AP53" s="303" t="s">
        <v>244</v>
      </c>
      <c r="AQ53" s="303" t="s">
        <v>245</v>
      </c>
      <c r="AR53" s="360" t="s">
        <v>246</v>
      </c>
      <c r="AS53" s="306" t="s">
        <v>247</v>
      </c>
      <c r="AT53" s="307" t="str">
        <f t="shared" si="41"/>
        <v>DESPACHO VAD</v>
      </c>
      <c r="AU53" s="308" t="s">
        <v>248</v>
      </c>
      <c r="AV53" s="361" t="s">
        <v>249</v>
      </c>
      <c r="AW53" s="303" t="s">
        <v>244</v>
      </c>
      <c r="AX53" s="303" t="s">
        <v>244</v>
      </c>
      <c r="AY53" s="362" t="s">
        <v>250</v>
      </c>
      <c r="AZ53" s="363" t="s">
        <v>251</v>
      </c>
      <c r="BA53" s="363" t="s">
        <v>252</v>
      </c>
      <c r="BB53" s="363" t="s">
        <v>250</v>
      </c>
      <c r="BC53" s="363"/>
      <c r="BD53" s="363"/>
    </row>
    <row r="54" spans="1:56" ht="72" x14ac:dyDescent="0.2">
      <c r="A54" s="257" t="s">
        <v>298</v>
      </c>
      <c r="B54" s="299" t="s">
        <v>63</v>
      </c>
      <c r="C54" s="299" t="s">
        <v>25</v>
      </c>
      <c r="D54" s="299" t="s">
        <v>137</v>
      </c>
      <c r="E54" s="299"/>
      <c r="F54" s="350" t="s">
        <v>383</v>
      </c>
      <c r="G54" s="350" t="s">
        <v>374</v>
      </c>
      <c r="H54" s="299" t="s">
        <v>67</v>
      </c>
      <c r="I54" s="299">
        <v>6</v>
      </c>
      <c r="J54" s="251">
        <v>6000000</v>
      </c>
      <c r="K54" s="300">
        <f t="shared" si="14"/>
        <v>3.3333333333333437E-2</v>
      </c>
      <c r="L54" s="311">
        <f>IF(H54="OTRO",(J54*1.05),VLOOKUP((I54&amp;H54),'ESCALAS Salarios'!$D$2:$F$30,3,0))</f>
        <v>6200000</v>
      </c>
      <c r="M54" s="299">
        <v>1</v>
      </c>
      <c r="N54" s="299" t="s">
        <v>485</v>
      </c>
      <c r="O54" s="250">
        <v>45306</v>
      </c>
      <c r="P54" s="316">
        <v>45639</v>
      </c>
      <c r="Q54" s="312">
        <v>55800000</v>
      </c>
      <c r="R54" s="250"/>
      <c r="S54" s="250"/>
      <c r="T54" s="312">
        <f t="shared" si="15"/>
        <v>0</v>
      </c>
      <c r="U54" s="318">
        <f t="shared" si="16"/>
        <v>11</v>
      </c>
      <c r="V54" s="352">
        <f t="shared" si="17"/>
        <v>55800000</v>
      </c>
      <c r="W54" s="313">
        <v>66800000</v>
      </c>
      <c r="X54" s="353">
        <f t="shared" si="18"/>
        <v>-0.16467065868263475</v>
      </c>
      <c r="Y54" s="375">
        <v>52374854</v>
      </c>
      <c r="Z54" s="376" t="s">
        <v>26</v>
      </c>
      <c r="AA54" s="356">
        <f t="shared" si="19"/>
        <v>55800000</v>
      </c>
      <c r="AB54" s="270" t="s">
        <v>243</v>
      </c>
      <c r="AC54" s="393" t="s">
        <v>1</v>
      </c>
      <c r="AD54" s="358" t="s">
        <v>361</v>
      </c>
      <c r="AE54" s="358" t="s">
        <v>244</v>
      </c>
      <c r="AF54" s="359" t="str">
        <f t="shared" si="37"/>
        <v>CON-050</v>
      </c>
      <c r="AG54" s="270">
        <v>80111600</v>
      </c>
      <c r="AH54" s="249" t="s">
        <v>143</v>
      </c>
      <c r="AI54" s="301">
        <f t="shared" si="38"/>
        <v>45306</v>
      </c>
      <c r="AJ54" s="301">
        <f t="shared" si="20"/>
        <v>45306</v>
      </c>
      <c r="AK54" s="302">
        <f t="shared" si="39"/>
        <v>11</v>
      </c>
      <c r="AL54" s="303" t="s">
        <v>241</v>
      </c>
      <c r="AM54" s="304" t="s">
        <v>242</v>
      </c>
      <c r="AN54" s="305">
        <f t="shared" si="40"/>
        <v>55800000</v>
      </c>
      <c r="AO54" s="305">
        <f t="shared" si="21"/>
        <v>55800000</v>
      </c>
      <c r="AP54" s="303" t="s">
        <v>244</v>
      </c>
      <c r="AQ54" s="303" t="s">
        <v>245</v>
      </c>
      <c r="AR54" s="360" t="s">
        <v>246</v>
      </c>
      <c r="AS54" s="306" t="s">
        <v>247</v>
      </c>
      <c r="AT54" s="307" t="str">
        <f t="shared" si="41"/>
        <v>SUBDIRECCIÓN FINANCIERA</v>
      </c>
      <c r="AU54" s="308" t="s">
        <v>248</v>
      </c>
      <c r="AV54" s="361" t="s">
        <v>249</v>
      </c>
      <c r="AW54" s="303" t="s">
        <v>244</v>
      </c>
      <c r="AX54" s="303" t="s">
        <v>244</v>
      </c>
      <c r="AY54" s="362" t="s">
        <v>250</v>
      </c>
      <c r="AZ54" s="363" t="s">
        <v>251</v>
      </c>
      <c r="BA54" s="363" t="s">
        <v>252</v>
      </c>
      <c r="BB54" s="363" t="s">
        <v>250</v>
      </c>
      <c r="BC54" s="363"/>
      <c r="BD54" s="363"/>
    </row>
    <row r="55" spans="1:56" ht="63.75" customHeight="1" x14ac:dyDescent="0.2">
      <c r="A55" s="257" t="s">
        <v>299</v>
      </c>
      <c r="B55" s="299" t="s">
        <v>63</v>
      </c>
      <c r="C55" s="299" t="s">
        <v>25</v>
      </c>
      <c r="D55" s="299" t="s">
        <v>80</v>
      </c>
      <c r="E55" s="299"/>
      <c r="F55" s="350" t="s">
        <v>383</v>
      </c>
      <c r="G55" s="350" t="s">
        <v>374</v>
      </c>
      <c r="H55" s="299" t="s">
        <v>69</v>
      </c>
      <c r="I55" s="299">
        <v>1</v>
      </c>
      <c r="J55" s="251">
        <v>3000000</v>
      </c>
      <c r="K55" s="300">
        <f t="shared" si="14"/>
        <v>3.3333333333333437E-2</v>
      </c>
      <c r="L55" s="311">
        <f>IF(H55="OTRO",(J55*1.05),VLOOKUP((I55&amp;H55),'ESCALAS Salarios'!$D$2:$F$30,3,0))</f>
        <v>3100000</v>
      </c>
      <c r="M55" s="299">
        <v>1</v>
      </c>
      <c r="N55" s="299" t="s">
        <v>485</v>
      </c>
      <c r="O55" s="250">
        <v>45313</v>
      </c>
      <c r="P55" s="316">
        <v>45639</v>
      </c>
      <c r="Q55" s="312">
        <f t="shared" si="22"/>
        <v>33686666.666666672</v>
      </c>
      <c r="R55" s="250"/>
      <c r="S55" s="250"/>
      <c r="T55" s="312">
        <f t="shared" si="15"/>
        <v>0</v>
      </c>
      <c r="U55" s="318">
        <f t="shared" si="16"/>
        <v>11</v>
      </c>
      <c r="V55" s="352">
        <f t="shared" si="17"/>
        <v>33686666.666666672</v>
      </c>
      <c r="W55" s="313">
        <v>32000000</v>
      </c>
      <c r="X55" s="353">
        <f t="shared" si="18"/>
        <v>5.2708333333333579E-2</v>
      </c>
      <c r="Y55" s="375">
        <v>1018477121</v>
      </c>
      <c r="Z55" s="376" t="s">
        <v>27</v>
      </c>
      <c r="AA55" s="356">
        <f t="shared" si="19"/>
        <v>33686666.666666672</v>
      </c>
      <c r="AB55" s="270" t="s">
        <v>243</v>
      </c>
      <c r="AC55" s="393" t="s">
        <v>1</v>
      </c>
      <c r="AD55" s="358" t="s">
        <v>361</v>
      </c>
      <c r="AE55" s="358" t="s">
        <v>244</v>
      </c>
      <c r="AF55" s="359" t="str">
        <f>"CON-"&amp;A55</f>
        <v>CON-051</v>
      </c>
      <c r="AG55" s="270">
        <v>80111600</v>
      </c>
      <c r="AH55" s="249" t="s">
        <v>683</v>
      </c>
      <c r="AI55" s="301">
        <f t="shared" si="38"/>
        <v>45313</v>
      </c>
      <c r="AJ55" s="301">
        <f t="shared" si="20"/>
        <v>45313</v>
      </c>
      <c r="AK55" s="302">
        <f t="shared" si="39"/>
        <v>11</v>
      </c>
      <c r="AL55" s="303" t="s">
        <v>241</v>
      </c>
      <c r="AM55" s="304" t="s">
        <v>242</v>
      </c>
      <c r="AN55" s="305">
        <f t="shared" si="40"/>
        <v>33686666.666666672</v>
      </c>
      <c r="AO55" s="305">
        <f t="shared" si="21"/>
        <v>33686666.666666672</v>
      </c>
      <c r="AP55" s="303" t="s">
        <v>244</v>
      </c>
      <c r="AQ55" s="303" t="s">
        <v>245</v>
      </c>
      <c r="AR55" s="360" t="s">
        <v>246</v>
      </c>
      <c r="AS55" s="306" t="s">
        <v>247</v>
      </c>
      <c r="AT55" s="307" t="str">
        <f t="shared" si="41"/>
        <v>DESPACHO VAD</v>
      </c>
      <c r="AU55" s="308" t="s">
        <v>248</v>
      </c>
      <c r="AV55" s="361" t="s">
        <v>249</v>
      </c>
      <c r="AW55" s="303" t="s">
        <v>244</v>
      </c>
      <c r="AX55" s="303" t="s">
        <v>244</v>
      </c>
      <c r="AY55" s="362" t="s">
        <v>250</v>
      </c>
      <c r="AZ55" s="363" t="s">
        <v>251</v>
      </c>
      <c r="BA55" s="363" t="s">
        <v>252</v>
      </c>
      <c r="BB55" s="363" t="s">
        <v>250</v>
      </c>
      <c r="BC55" s="363"/>
      <c r="BD55" s="363"/>
    </row>
    <row r="56" spans="1:56" s="281" customFormat="1" ht="69" customHeight="1" x14ac:dyDescent="0.2">
      <c r="A56" s="267" t="s">
        <v>300</v>
      </c>
      <c r="B56" s="258" t="s">
        <v>63</v>
      </c>
      <c r="C56" s="258" t="s">
        <v>25</v>
      </c>
      <c r="D56" s="258" t="s">
        <v>138</v>
      </c>
      <c r="E56" s="258"/>
      <c r="F56" s="258" t="s">
        <v>383</v>
      </c>
      <c r="G56" s="258" t="s">
        <v>374</v>
      </c>
      <c r="H56" s="258" t="s">
        <v>69</v>
      </c>
      <c r="I56" s="258">
        <v>6</v>
      </c>
      <c r="J56" s="282">
        <v>4200000</v>
      </c>
      <c r="K56" s="280">
        <f t="shared" si="14"/>
        <v>4.7619047619047672E-2</v>
      </c>
      <c r="L56" s="282">
        <f>IF(H56="OTRO",(J56*1.05),VLOOKUP((I56&amp;H56),'ESCALAS Salarios'!$D$2:$F$30,3,0))</f>
        <v>4400000</v>
      </c>
      <c r="M56" s="258">
        <v>1</v>
      </c>
      <c r="N56" s="258" t="s">
        <v>485</v>
      </c>
      <c r="O56" s="283">
        <v>45327</v>
      </c>
      <c r="P56" s="284">
        <v>45641</v>
      </c>
      <c r="Q56" s="282">
        <f t="shared" si="22"/>
        <v>46053333.333333336</v>
      </c>
      <c r="R56" s="283"/>
      <c r="S56" s="283"/>
      <c r="T56" s="282">
        <f t="shared" si="15"/>
        <v>0</v>
      </c>
      <c r="U56" s="285">
        <f t="shared" si="16"/>
        <v>10</v>
      </c>
      <c r="V56" s="282">
        <v>0</v>
      </c>
      <c r="W56" s="282">
        <v>44380000</v>
      </c>
      <c r="X56" s="280">
        <f t="shared" si="18"/>
        <v>-1</v>
      </c>
      <c r="Y56" s="286">
        <v>52516310</v>
      </c>
      <c r="Z56" s="287" t="s">
        <v>425</v>
      </c>
      <c r="AA56" s="288">
        <f t="shared" si="19"/>
        <v>0</v>
      </c>
      <c r="AB56" s="258" t="s">
        <v>243</v>
      </c>
      <c r="AC56" s="381" t="s">
        <v>1</v>
      </c>
      <c r="AD56" s="290" t="s">
        <v>361</v>
      </c>
      <c r="AE56" s="290" t="s">
        <v>244</v>
      </c>
      <c r="AF56" s="291" t="str">
        <f t="shared" si="37"/>
        <v>CON-052</v>
      </c>
      <c r="AG56" s="258">
        <v>80111600</v>
      </c>
      <c r="AH56" s="292" t="s">
        <v>210</v>
      </c>
      <c r="AI56" s="260">
        <f t="shared" si="38"/>
        <v>45327</v>
      </c>
      <c r="AJ56" s="260">
        <f t="shared" si="20"/>
        <v>45327</v>
      </c>
      <c r="AK56" s="261">
        <f t="shared" si="39"/>
        <v>10</v>
      </c>
      <c r="AL56" s="262" t="s">
        <v>241</v>
      </c>
      <c r="AM56" s="263" t="s">
        <v>242</v>
      </c>
      <c r="AN56" s="264">
        <f t="shared" si="40"/>
        <v>0</v>
      </c>
      <c r="AO56" s="264">
        <f t="shared" si="21"/>
        <v>0</v>
      </c>
      <c r="AP56" s="262" t="s">
        <v>244</v>
      </c>
      <c r="AQ56" s="262" t="s">
        <v>245</v>
      </c>
      <c r="AR56" s="293" t="s">
        <v>246</v>
      </c>
      <c r="AS56" s="265" t="s">
        <v>247</v>
      </c>
      <c r="AT56" s="258" t="str">
        <f t="shared" si="41"/>
        <v>SUBDIRECCIÓN DE PERSONAL</v>
      </c>
      <c r="AU56" s="262" t="s">
        <v>248</v>
      </c>
      <c r="AV56" s="294" t="s">
        <v>249</v>
      </c>
      <c r="AW56" s="262" t="s">
        <v>244</v>
      </c>
      <c r="AX56" s="262" t="s">
        <v>244</v>
      </c>
      <c r="AY56" s="295" t="s">
        <v>250</v>
      </c>
      <c r="AZ56" s="296" t="s">
        <v>251</v>
      </c>
      <c r="BA56" s="296" t="s">
        <v>252</v>
      </c>
      <c r="BB56" s="296" t="s">
        <v>250</v>
      </c>
      <c r="BC56" s="296"/>
      <c r="BD56" s="296"/>
    </row>
    <row r="57" spans="1:56" ht="36" x14ac:dyDescent="0.2">
      <c r="A57" s="257" t="s">
        <v>301</v>
      </c>
      <c r="B57" s="299" t="s">
        <v>63</v>
      </c>
      <c r="C57" s="299" t="s">
        <v>25</v>
      </c>
      <c r="D57" s="299" t="s">
        <v>29</v>
      </c>
      <c r="E57" s="299"/>
      <c r="F57" s="350" t="s">
        <v>481</v>
      </c>
      <c r="G57" s="350" t="s">
        <v>374</v>
      </c>
      <c r="H57" s="299" t="s">
        <v>71</v>
      </c>
      <c r="I57" s="299">
        <v>5</v>
      </c>
      <c r="J57" s="251">
        <v>2000000</v>
      </c>
      <c r="K57" s="300">
        <f t="shared" si="14"/>
        <v>0.30000000000000004</v>
      </c>
      <c r="L57" s="311">
        <v>2600000</v>
      </c>
      <c r="M57" s="299">
        <v>1</v>
      </c>
      <c r="N57" s="299" t="s">
        <v>485</v>
      </c>
      <c r="O57" s="250">
        <v>45337</v>
      </c>
      <c r="P57" s="316">
        <v>45648</v>
      </c>
      <c r="Q57" s="312">
        <v>26606640</v>
      </c>
      <c r="R57" s="250"/>
      <c r="S57" s="250"/>
      <c r="T57" s="312">
        <f t="shared" si="15"/>
        <v>0</v>
      </c>
      <c r="U57" s="318">
        <f t="shared" si="16"/>
        <v>10</v>
      </c>
      <c r="V57" s="352">
        <v>26606640</v>
      </c>
      <c r="W57" s="313">
        <v>22200000</v>
      </c>
      <c r="X57" s="353">
        <f t="shared" si="18"/>
        <v>0.19849729729729737</v>
      </c>
      <c r="Y57" s="375">
        <v>16881799</v>
      </c>
      <c r="Z57" s="376" t="s">
        <v>30</v>
      </c>
      <c r="AA57" s="356">
        <f t="shared" si="19"/>
        <v>26606640</v>
      </c>
      <c r="AB57" s="270" t="s">
        <v>243</v>
      </c>
      <c r="AC57" s="393" t="s">
        <v>1</v>
      </c>
      <c r="AD57" s="358" t="s">
        <v>361</v>
      </c>
      <c r="AE57" s="358" t="s">
        <v>244</v>
      </c>
      <c r="AF57" s="359" t="str">
        <f t="shared" si="37"/>
        <v>CON-053</v>
      </c>
      <c r="AG57" s="270">
        <v>80111600</v>
      </c>
      <c r="AH57" s="249" t="s">
        <v>169</v>
      </c>
      <c r="AI57" s="301">
        <f t="shared" si="38"/>
        <v>45337</v>
      </c>
      <c r="AJ57" s="301">
        <f t="shared" si="20"/>
        <v>45337</v>
      </c>
      <c r="AK57" s="302">
        <f t="shared" si="39"/>
        <v>10</v>
      </c>
      <c r="AL57" s="303" t="s">
        <v>241</v>
      </c>
      <c r="AM57" s="304" t="s">
        <v>242</v>
      </c>
      <c r="AN57" s="305">
        <f t="shared" si="40"/>
        <v>26606640</v>
      </c>
      <c r="AO57" s="305">
        <f t="shared" si="21"/>
        <v>26606640</v>
      </c>
      <c r="AP57" s="303" t="s">
        <v>244</v>
      </c>
      <c r="AQ57" s="303" t="s">
        <v>245</v>
      </c>
      <c r="AR57" s="360" t="s">
        <v>246</v>
      </c>
      <c r="AS57" s="306" t="s">
        <v>247</v>
      </c>
      <c r="AT57" s="307" t="str">
        <f t="shared" si="41"/>
        <v>SUBDIRECCIÓN DE SERVICIOS GENERALES</v>
      </c>
      <c r="AU57" s="308" t="s">
        <v>248</v>
      </c>
      <c r="AV57" s="361" t="s">
        <v>249</v>
      </c>
      <c r="AW57" s="303" t="s">
        <v>244</v>
      </c>
      <c r="AX57" s="303" t="s">
        <v>244</v>
      </c>
      <c r="AY57" s="362" t="s">
        <v>250</v>
      </c>
      <c r="AZ57" s="363" t="s">
        <v>251</v>
      </c>
      <c r="BA57" s="363" t="s">
        <v>252</v>
      </c>
      <c r="BB57" s="363" t="s">
        <v>250</v>
      </c>
      <c r="BC57" s="363"/>
      <c r="BD57" s="363"/>
    </row>
    <row r="58" spans="1:56" ht="60" x14ac:dyDescent="0.2">
      <c r="A58" s="257" t="s">
        <v>302</v>
      </c>
      <c r="B58" s="299" t="s">
        <v>63</v>
      </c>
      <c r="C58" s="299" t="s">
        <v>25</v>
      </c>
      <c r="D58" s="299" t="s">
        <v>81</v>
      </c>
      <c r="E58" s="299"/>
      <c r="F58" s="350" t="s">
        <v>383</v>
      </c>
      <c r="G58" s="350" t="s">
        <v>374</v>
      </c>
      <c r="H58" s="299" t="s">
        <v>69</v>
      </c>
      <c r="I58" s="299">
        <v>6</v>
      </c>
      <c r="J58" s="251">
        <v>4200000</v>
      </c>
      <c r="K58" s="300">
        <f t="shared" si="14"/>
        <v>4.7619047619047672E-2</v>
      </c>
      <c r="L58" s="311">
        <f>IF(H58="OTRO",(J58*1.05),VLOOKUP((I58&amp;H58),'ESCALAS Salarios'!$D$2:$F$30,3,0))</f>
        <v>4400000</v>
      </c>
      <c r="M58" s="299">
        <v>1</v>
      </c>
      <c r="N58" s="299" t="s">
        <v>485</v>
      </c>
      <c r="O58" s="250">
        <v>45302</v>
      </c>
      <c r="P58" s="316">
        <v>45596</v>
      </c>
      <c r="Q58" s="312">
        <f t="shared" si="22"/>
        <v>43120000</v>
      </c>
      <c r="R58" s="250"/>
      <c r="S58" s="250"/>
      <c r="T58" s="312">
        <f t="shared" si="15"/>
        <v>0</v>
      </c>
      <c r="U58" s="318">
        <f t="shared" si="16"/>
        <v>10</v>
      </c>
      <c r="V58" s="352">
        <f t="shared" si="17"/>
        <v>43120000</v>
      </c>
      <c r="W58" s="313">
        <v>42280000</v>
      </c>
      <c r="X58" s="353">
        <f t="shared" si="18"/>
        <v>1.9867549668874274E-2</v>
      </c>
      <c r="Y58" s="375">
        <v>1005450904</v>
      </c>
      <c r="Z58" s="376" t="s">
        <v>426</v>
      </c>
      <c r="AA58" s="356">
        <f t="shared" si="19"/>
        <v>43120000</v>
      </c>
      <c r="AB58" s="270" t="s">
        <v>243</v>
      </c>
      <c r="AC58" s="393" t="s">
        <v>1</v>
      </c>
      <c r="AD58" s="358" t="s">
        <v>361</v>
      </c>
      <c r="AE58" s="358" t="s">
        <v>244</v>
      </c>
      <c r="AF58" s="359" t="str">
        <f t="shared" si="37"/>
        <v>CON-054</v>
      </c>
      <c r="AG58" s="270">
        <v>80111600</v>
      </c>
      <c r="AH58" s="249" t="s">
        <v>673</v>
      </c>
      <c r="AI58" s="301">
        <f t="shared" si="38"/>
        <v>45302</v>
      </c>
      <c r="AJ58" s="301">
        <f t="shared" si="20"/>
        <v>45302</v>
      </c>
      <c r="AK58" s="302">
        <f t="shared" si="39"/>
        <v>10</v>
      </c>
      <c r="AL58" s="303" t="s">
        <v>241</v>
      </c>
      <c r="AM58" s="304" t="s">
        <v>242</v>
      </c>
      <c r="AN58" s="305">
        <f t="shared" si="40"/>
        <v>43120000</v>
      </c>
      <c r="AO58" s="305">
        <f t="shared" si="21"/>
        <v>43120000</v>
      </c>
      <c r="AP58" s="303" t="s">
        <v>244</v>
      </c>
      <c r="AQ58" s="303" t="s">
        <v>245</v>
      </c>
      <c r="AR58" s="360" t="s">
        <v>246</v>
      </c>
      <c r="AS58" s="306" t="s">
        <v>247</v>
      </c>
      <c r="AT58" s="307" t="str">
        <f t="shared" si="41"/>
        <v xml:space="preserve">GRUPO DE CONTRATACIÓN </v>
      </c>
      <c r="AU58" s="308" t="s">
        <v>248</v>
      </c>
      <c r="AV58" s="361" t="s">
        <v>249</v>
      </c>
      <c r="AW58" s="303" t="s">
        <v>244</v>
      </c>
      <c r="AX58" s="303" t="s">
        <v>244</v>
      </c>
      <c r="AY58" s="362" t="s">
        <v>250</v>
      </c>
      <c r="AZ58" s="363" t="s">
        <v>251</v>
      </c>
      <c r="BA58" s="363" t="s">
        <v>252</v>
      </c>
      <c r="BB58" s="363" t="s">
        <v>250</v>
      </c>
      <c r="BC58" s="363"/>
      <c r="BD58" s="363"/>
    </row>
    <row r="59" spans="1:56" ht="72" x14ac:dyDescent="0.2">
      <c r="A59" s="257" t="s">
        <v>303</v>
      </c>
      <c r="B59" s="299" t="s">
        <v>63</v>
      </c>
      <c r="C59" s="299" t="s">
        <v>25</v>
      </c>
      <c r="D59" s="299" t="s">
        <v>31</v>
      </c>
      <c r="E59" s="299"/>
      <c r="F59" s="350" t="s">
        <v>383</v>
      </c>
      <c r="G59" s="350" t="s">
        <v>374</v>
      </c>
      <c r="H59" s="299" t="s">
        <v>69</v>
      </c>
      <c r="I59" s="299">
        <v>6</v>
      </c>
      <c r="J59" s="251">
        <v>3400000</v>
      </c>
      <c r="K59" s="300">
        <f t="shared" si="14"/>
        <v>0.29411764705882359</v>
      </c>
      <c r="L59" s="311">
        <f>IF(H59="OTRO",(J59*1.05),VLOOKUP((I59&amp;H59),'ESCALAS Salarios'!$D$2:$F$30,3,0))</f>
        <v>4400000</v>
      </c>
      <c r="M59" s="299">
        <v>1</v>
      </c>
      <c r="N59" s="299" t="s">
        <v>485</v>
      </c>
      <c r="O59" s="250">
        <v>45320</v>
      </c>
      <c r="P59" s="316">
        <v>45564</v>
      </c>
      <c r="Q59" s="312">
        <v>35200000</v>
      </c>
      <c r="R59" s="250"/>
      <c r="S59" s="250"/>
      <c r="T59" s="312">
        <f t="shared" si="15"/>
        <v>0</v>
      </c>
      <c r="U59" s="318">
        <f t="shared" si="16"/>
        <v>8</v>
      </c>
      <c r="V59" s="352">
        <f t="shared" si="17"/>
        <v>35200000</v>
      </c>
      <c r="W59" s="313">
        <v>35360000</v>
      </c>
      <c r="X59" s="353">
        <f t="shared" si="18"/>
        <v>-4.5248868778280382E-3</v>
      </c>
      <c r="Y59" s="375">
        <v>80723573</v>
      </c>
      <c r="Z59" s="376" t="s">
        <v>32</v>
      </c>
      <c r="AA59" s="356">
        <f t="shared" si="19"/>
        <v>35200000</v>
      </c>
      <c r="AB59" s="270" t="s">
        <v>243</v>
      </c>
      <c r="AC59" s="393" t="s">
        <v>1</v>
      </c>
      <c r="AD59" s="358" t="s">
        <v>361</v>
      </c>
      <c r="AE59" s="358" t="s">
        <v>244</v>
      </c>
      <c r="AF59" s="359" t="str">
        <f t="shared" si="37"/>
        <v>CON-055</v>
      </c>
      <c r="AG59" s="270">
        <v>80111600</v>
      </c>
      <c r="AH59" s="249" t="s">
        <v>170</v>
      </c>
      <c r="AI59" s="301">
        <f t="shared" si="38"/>
        <v>45320</v>
      </c>
      <c r="AJ59" s="301">
        <f t="shared" si="20"/>
        <v>45320</v>
      </c>
      <c r="AK59" s="302">
        <f t="shared" si="39"/>
        <v>8</v>
      </c>
      <c r="AL59" s="303" t="s">
        <v>241</v>
      </c>
      <c r="AM59" s="304" t="s">
        <v>242</v>
      </c>
      <c r="AN59" s="305">
        <f t="shared" si="40"/>
        <v>35200000</v>
      </c>
      <c r="AO59" s="305">
        <f t="shared" si="21"/>
        <v>35200000</v>
      </c>
      <c r="AP59" s="303" t="s">
        <v>244</v>
      </c>
      <c r="AQ59" s="303" t="s">
        <v>245</v>
      </c>
      <c r="AR59" s="360" t="s">
        <v>246</v>
      </c>
      <c r="AS59" s="306" t="s">
        <v>247</v>
      </c>
      <c r="AT59" s="307" t="str">
        <f t="shared" si="41"/>
        <v xml:space="preserve">SUBDIRECCIÓN DE GESTIÓN DE SISTEMAS DE INFORMACIÓN </v>
      </c>
      <c r="AU59" s="308" t="s">
        <v>248</v>
      </c>
      <c r="AV59" s="361" t="s">
        <v>249</v>
      </c>
      <c r="AW59" s="303" t="s">
        <v>244</v>
      </c>
      <c r="AX59" s="303" t="s">
        <v>244</v>
      </c>
      <c r="AY59" s="362" t="s">
        <v>250</v>
      </c>
      <c r="AZ59" s="363" t="s">
        <v>251</v>
      </c>
      <c r="BA59" s="363" t="s">
        <v>252</v>
      </c>
      <c r="BB59" s="363" t="s">
        <v>250</v>
      </c>
      <c r="BC59" s="363"/>
      <c r="BD59" s="363"/>
    </row>
    <row r="60" spans="1:56" ht="122.25" customHeight="1" x14ac:dyDescent="0.2">
      <c r="A60" s="257" t="s">
        <v>304</v>
      </c>
      <c r="B60" s="299" t="s">
        <v>63</v>
      </c>
      <c r="C60" s="299" t="s">
        <v>25</v>
      </c>
      <c r="D60" s="299" t="s">
        <v>31</v>
      </c>
      <c r="E60" s="299"/>
      <c r="F60" s="350" t="s">
        <v>383</v>
      </c>
      <c r="G60" s="350" t="s">
        <v>374</v>
      </c>
      <c r="H60" s="299" t="s">
        <v>69</v>
      </c>
      <c r="I60" s="299">
        <v>6</v>
      </c>
      <c r="J60" s="251">
        <v>3400000</v>
      </c>
      <c r="K60" s="300">
        <f t="shared" si="14"/>
        <v>0.29411764705882359</v>
      </c>
      <c r="L60" s="311">
        <f>IF(H60="OTRO",(J60*1.05),VLOOKUP((I60&amp;H60),'ESCALAS Salarios'!$D$2:$F$30,3,0))</f>
        <v>4400000</v>
      </c>
      <c r="M60" s="299">
        <v>1</v>
      </c>
      <c r="N60" s="299" t="s">
        <v>485</v>
      </c>
      <c r="O60" s="250">
        <v>45320</v>
      </c>
      <c r="P60" s="316">
        <v>45564</v>
      </c>
      <c r="Q60" s="312">
        <f>35200000</f>
        <v>35200000</v>
      </c>
      <c r="R60" s="250"/>
      <c r="S60" s="250"/>
      <c r="T60" s="312">
        <f t="shared" ref="T60:T108" si="42">IF($N60="MENSUAL",ROUND((((S60-R60))/30),0)*$L60,((S60-R60)/30)*$L60)</f>
        <v>0</v>
      </c>
      <c r="U60" s="318">
        <f t="shared" ref="U60:U108" si="43">ROUND((((P60-O60)+(S60-R60))/30),0)</f>
        <v>8</v>
      </c>
      <c r="V60" s="352">
        <f t="shared" ref="V60:V108" si="44">+Q60+T60</f>
        <v>35200000</v>
      </c>
      <c r="W60" s="313">
        <v>35360000</v>
      </c>
      <c r="X60" s="353">
        <f t="shared" ref="X60:X108" si="45">IF(W60="",1,((V60/W60)-1))</f>
        <v>-4.5248868778280382E-3</v>
      </c>
      <c r="Y60" s="375">
        <v>1065564485</v>
      </c>
      <c r="Z60" s="376" t="s">
        <v>33</v>
      </c>
      <c r="AA60" s="356">
        <f t="shared" ref="AA60:AA108" si="46">+V60</f>
        <v>35200000</v>
      </c>
      <c r="AB60" s="270" t="s">
        <v>243</v>
      </c>
      <c r="AC60" s="393" t="s">
        <v>1</v>
      </c>
      <c r="AD60" s="358" t="s">
        <v>361</v>
      </c>
      <c r="AE60" s="358" t="s">
        <v>244</v>
      </c>
      <c r="AF60" s="359" t="str">
        <f t="shared" si="37"/>
        <v>CON-056</v>
      </c>
      <c r="AG60" s="270">
        <v>80111600</v>
      </c>
      <c r="AH60" s="249" t="s">
        <v>171</v>
      </c>
      <c r="AI60" s="301">
        <f t="shared" si="38"/>
        <v>45320</v>
      </c>
      <c r="AJ60" s="301">
        <f t="shared" si="20"/>
        <v>45320</v>
      </c>
      <c r="AK60" s="302">
        <f t="shared" si="39"/>
        <v>8</v>
      </c>
      <c r="AL60" s="303" t="s">
        <v>241</v>
      </c>
      <c r="AM60" s="304" t="s">
        <v>242</v>
      </c>
      <c r="AN60" s="305">
        <f t="shared" si="40"/>
        <v>35200000</v>
      </c>
      <c r="AO60" s="305">
        <f t="shared" si="21"/>
        <v>35200000</v>
      </c>
      <c r="AP60" s="303" t="s">
        <v>244</v>
      </c>
      <c r="AQ60" s="303" t="s">
        <v>245</v>
      </c>
      <c r="AR60" s="360" t="s">
        <v>246</v>
      </c>
      <c r="AS60" s="306" t="s">
        <v>247</v>
      </c>
      <c r="AT60" s="307" t="str">
        <f t="shared" si="41"/>
        <v xml:space="preserve">SUBDIRECCIÓN DE GESTIÓN DE SISTEMAS DE INFORMACIÓN </v>
      </c>
      <c r="AU60" s="308" t="s">
        <v>248</v>
      </c>
      <c r="AV60" s="361" t="s">
        <v>249</v>
      </c>
      <c r="AW60" s="303" t="s">
        <v>244</v>
      </c>
      <c r="AX60" s="303" t="s">
        <v>244</v>
      </c>
      <c r="AY60" s="362" t="s">
        <v>250</v>
      </c>
      <c r="AZ60" s="363" t="s">
        <v>251</v>
      </c>
      <c r="BA60" s="363" t="s">
        <v>252</v>
      </c>
      <c r="BB60" s="363" t="s">
        <v>250</v>
      </c>
      <c r="BC60" s="363"/>
      <c r="BD60" s="363"/>
    </row>
    <row r="61" spans="1:56" ht="72" x14ac:dyDescent="0.2">
      <c r="A61" s="257" t="s">
        <v>305</v>
      </c>
      <c r="B61" s="299" t="s">
        <v>63</v>
      </c>
      <c r="C61" s="299" t="s">
        <v>25</v>
      </c>
      <c r="D61" s="299" t="s">
        <v>31</v>
      </c>
      <c r="E61" s="299"/>
      <c r="F61" s="350" t="s">
        <v>383</v>
      </c>
      <c r="G61" s="350" t="s">
        <v>374</v>
      </c>
      <c r="H61" s="299" t="s">
        <v>67</v>
      </c>
      <c r="I61" s="299">
        <v>1</v>
      </c>
      <c r="J61" s="251">
        <v>4550000</v>
      </c>
      <c r="K61" s="300">
        <f t="shared" si="14"/>
        <v>3.2967032967033072E-2</v>
      </c>
      <c r="L61" s="311">
        <f>IF(H61="OTRO",(J61*1.05),VLOOKUP((I61&amp;H61),'ESCALAS Salarios'!$D$2:$F$30,3,0))</f>
        <v>4700000</v>
      </c>
      <c r="M61" s="299">
        <v>1</v>
      </c>
      <c r="N61" s="299" t="s">
        <v>485</v>
      </c>
      <c r="O61" s="250">
        <v>45315</v>
      </c>
      <c r="P61" s="316">
        <v>45625</v>
      </c>
      <c r="Q61" s="312">
        <v>47000000</v>
      </c>
      <c r="R61" s="250"/>
      <c r="S61" s="250"/>
      <c r="T61" s="312">
        <f t="shared" si="42"/>
        <v>0</v>
      </c>
      <c r="U61" s="318">
        <f t="shared" si="43"/>
        <v>10</v>
      </c>
      <c r="V61" s="352">
        <f t="shared" si="44"/>
        <v>47000000</v>
      </c>
      <c r="W61" s="313">
        <v>47320000</v>
      </c>
      <c r="X61" s="353">
        <f t="shared" si="45"/>
        <v>-6.7624683009298581E-3</v>
      </c>
      <c r="Y61" s="375">
        <v>52558393</v>
      </c>
      <c r="Z61" s="376" t="s">
        <v>427</v>
      </c>
      <c r="AA61" s="356">
        <f t="shared" si="46"/>
        <v>47000000</v>
      </c>
      <c r="AB61" s="270" t="s">
        <v>243</v>
      </c>
      <c r="AC61" s="393" t="s">
        <v>1</v>
      </c>
      <c r="AD61" s="358" t="s">
        <v>361</v>
      </c>
      <c r="AE61" s="358" t="s">
        <v>244</v>
      </c>
      <c r="AF61" s="359" t="str">
        <f t="shared" si="37"/>
        <v>CON-057</v>
      </c>
      <c r="AG61" s="270">
        <v>80111600</v>
      </c>
      <c r="AH61" s="249" t="s">
        <v>172</v>
      </c>
      <c r="AI61" s="301">
        <f t="shared" si="38"/>
        <v>45315</v>
      </c>
      <c r="AJ61" s="301">
        <f t="shared" si="20"/>
        <v>45315</v>
      </c>
      <c r="AK61" s="302">
        <f t="shared" si="39"/>
        <v>10</v>
      </c>
      <c r="AL61" s="303" t="s">
        <v>241</v>
      </c>
      <c r="AM61" s="304" t="s">
        <v>242</v>
      </c>
      <c r="AN61" s="305">
        <f t="shared" si="40"/>
        <v>47000000</v>
      </c>
      <c r="AO61" s="305">
        <f t="shared" si="21"/>
        <v>47000000</v>
      </c>
      <c r="AP61" s="303" t="s">
        <v>244</v>
      </c>
      <c r="AQ61" s="303" t="s">
        <v>245</v>
      </c>
      <c r="AR61" s="360" t="s">
        <v>246</v>
      </c>
      <c r="AS61" s="306" t="s">
        <v>247</v>
      </c>
      <c r="AT61" s="307" t="str">
        <f t="shared" si="41"/>
        <v xml:space="preserve">SUBDIRECCIÓN DE GESTIÓN DE SISTEMAS DE INFORMACIÓN </v>
      </c>
      <c r="AU61" s="308" t="s">
        <v>248</v>
      </c>
      <c r="AV61" s="361" t="s">
        <v>249</v>
      </c>
      <c r="AW61" s="303" t="s">
        <v>244</v>
      </c>
      <c r="AX61" s="303" t="s">
        <v>244</v>
      </c>
      <c r="AY61" s="362" t="s">
        <v>250</v>
      </c>
      <c r="AZ61" s="363" t="s">
        <v>251</v>
      </c>
      <c r="BA61" s="363" t="s">
        <v>252</v>
      </c>
      <c r="BB61" s="363" t="s">
        <v>250</v>
      </c>
      <c r="BC61" s="363"/>
      <c r="BD61" s="363"/>
    </row>
    <row r="62" spans="1:56" ht="48" x14ac:dyDescent="0.2">
      <c r="A62" s="257" t="s">
        <v>306</v>
      </c>
      <c r="B62" s="299" t="s">
        <v>63</v>
      </c>
      <c r="C62" s="299" t="s">
        <v>25</v>
      </c>
      <c r="D62" s="299" t="s">
        <v>31</v>
      </c>
      <c r="E62" s="299"/>
      <c r="F62" s="350" t="s">
        <v>383</v>
      </c>
      <c r="G62" s="350" t="s">
        <v>374</v>
      </c>
      <c r="H62" s="299" t="s">
        <v>69</v>
      </c>
      <c r="I62" s="299">
        <v>6</v>
      </c>
      <c r="J62" s="251">
        <v>3400000</v>
      </c>
      <c r="K62" s="300">
        <f t="shared" si="14"/>
        <v>0.29411764705882359</v>
      </c>
      <c r="L62" s="311">
        <f>IF(H62="OTRO",(J62*1.05),VLOOKUP((I62&amp;H62),'ESCALAS Salarios'!$D$2:$F$30,3,0))</f>
        <v>4400000</v>
      </c>
      <c r="M62" s="299">
        <v>1</v>
      </c>
      <c r="N62" s="299" t="s">
        <v>485</v>
      </c>
      <c r="O62" s="250">
        <v>45320</v>
      </c>
      <c r="P62" s="316">
        <v>45564</v>
      </c>
      <c r="Q62" s="312">
        <f>35200000</f>
        <v>35200000</v>
      </c>
      <c r="R62" s="250"/>
      <c r="S62" s="250"/>
      <c r="T62" s="312">
        <f t="shared" si="42"/>
        <v>0</v>
      </c>
      <c r="U62" s="318">
        <f t="shared" si="43"/>
        <v>8</v>
      </c>
      <c r="V62" s="352">
        <f t="shared" si="44"/>
        <v>35200000</v>
      </c>
      <c r="W62" s="313">
        <v>35360000</v>
      </c>
      <c r="X62" s="353">
        <f t="shared" si="45"/>
        <v>-4.5248868778280382E-3</v>
      </c>
      <c r="Y62" s="375">
        <v>80010368</v>
      </c>
      <c r="Z62" s="376" t="s">
        <v>34</v>
      </c>
      <c r="AA62" s="356">
        <f t="shared" si="46"/>
        <v>35200000</v>
      </c>
      <c r="AB62" s="270" t="s">
        <v>243</v>
      </c>
      <c r="AC62" s="393" t="s">
        <v>1</v>
      </c>
      <c r="AD62" s="358" t="s">
        <v>361</v>
      </c>
      <c r="AE62" s="358" t="s">
        <v>244</v>
      </c>
      <c r="AF62" s="359" t="str">
        <f t="shared" si="37"/>
        <v>CON-058</v>
      </c>
      <c r="AG62" s="270">
        <v>80111600</v>
      </c>
      <c r="AH62" s="249" t="s">
        <v>173</v>
      </c>
      <c r="AI62" s="301">
        <f t="shared" si="38"/>
        <v>45320</v>
      </c>
      <c r="AJ62" s="301">
        <f t="shared" si="20"/>
        <v>45320</v>
      </c>
      <c r="AK62" s="302">
        <f t="shared" si="39"/>
        <v>8</v>
      </c>
      <c r="AL62" s="303" t="s">
        <v>241</v>
      </c>
      <c r="AM62" s="304" t="s">
        <v>242</v>
      </c>
      <c r="AN62" s="305">
        <f t="shared" si="40"/>
        <v>35200000</v>
      </c>
      <c r="AO62" s="305">
        <f t="shared" si="21"/>
        <v>35200000</v>
      </c>
      <c r="AP62" s="303" t="s">
        <v>244</v>
      </c>
      <c r="AQ62" s="303" t="s">
        <v>245</v>
      </c>
      <c r="AR62" s="360" t="s">
        <v>246</v>
      </c>
      <c r="AS62" s="306" t="s">
        <v>247</v>
      </c>
      <c r="AT62" s="307" t="str">
        <f t="shared" si="41"/>
        <v xml:space="preserve">SUBDIRECCIÓN DE GESTIÓN DE SISTEMAS DE INFORMACIÓN </v>
      </c>
      <c r="AU62" s="308" t="s">
        <v>248</v>
      </c>
      <c r="AV62" s="361" t="s">
        <v>249</v>
      </c>
      <c r="AW62" s="303" t="s">
        <v>244</v>
      </c>
      <c r="AX62" s="303" t="s">
        <v>244</v>
      </c>
      <c r="AY62" s="362" t="s">
        <v>250</v>
      </c>
      <c r="AZ62" s="363" t="s">
        <v>251</v>
      </c>
      <c r="BA62" s="363" t="s">
        <v>252</v>
      </c>
      <c r="BB62" s="363" t="s">
        <v>250</v>
      </c>
      <c r="BC62" s="363"/>
      <c r="BD62" s="363"/>
    </row>
    <row r="63" spans="1:56" ht="60" x14ac:dyDescent="0.2">
      <c r="A63" s="257" t="s">
        <v>592</v>
      </c>
      <c r="B63" s="299" t="s">
        <v>63</v>
      </c>
      <c r="C63" s="299" t="s">
        <v>25</v>
      </c>
      <c r="D63" s="299" t="s">
        <v>31</v>
      </c>
      <c r="E63" s="299"/>
      <c r="F63" s="350" t="s">
        <v>480</v>
      </c>
      <c r="G63" s="350" t="s">
        <v>374</v>
      </c>
      <c r="H63" s="299" t="s">
        <v>69</v>
      </c>
      <c r="I63" s="299">
        <v>6</v>
      </c>
      <c r="J63" s="251">
        <v>2200000</v>
      </c>
      <c r="K63" s="300">
        <f t="shared" si="14"/>
        <v>1</v>
      </c>
      <c r="L63" s="311">
        <f>IF(H63="OTRO",(J63*1.05),VLOOKUP((I63&amp;H63),'ESCALAS Salarios'!$D$2:$F$30,3,0))</f>
        <v>4400000</v>
      </c>
      <c r="M63" s="299">
        <v>1</v>
      </c>
      <c r="N63" s="299" t="s">
        <v>485</v>
      </c>
      <c r="O63" s="250">
        <v>45345</v>
      </c>
      <c r="P63" s="316">
        <v>45502</v>
      </c>
      <c r="Q63" s="312">
        <v>22000000</v>
      </c>
      <c r="R63" s="250"/>
      <c r="S63" s="250"/>
      <c r="T63" s="312">
        <f t="shared" si="42"/>
        <v>0</v>
      </c>
      <c r="U63" s="318">
        <f>ROUND((((P63-O63)+(S63-R63))/30),0)</f>
        <v>5</v>
      </c>
      <c r="V63" s="352">
        <f t="shared" si="44"/>
        <v>22000000</v>
      </c>
      <c r="W63" s="313">
        <v>22880000</v>
      </c>
      <c r="X63" s="353">
        <f t="shared" si="45"/>
        <v>-3.8461538461538436E-2</v>
      </c>
      <c r="Y63" s="375">
        <v>1000115711</v>
      </c>
      <c r="Z63" s="376" t="s">
        <v>428</v>
      </c>
      <c r="AA63" s="356">
        <f t="shared" si="46"/>
        <v>22000000</v>
      </c>
      <c r="AB63" s="270" t="s">
        <v>243</v>
      </c>
      <c r="AC63" s="393" t="s">
        <v>1</v>
      </c>
      <c r="AD63" s="358" t="s">
        <v>361</v>
      </c>
      <c r="AE63" s="358" t="s">
        <v>244</v>
      </c>
      <c r="AF63" s="359" t="str">
        <f t="shared" si="37"/>
        <v>CON-059</v>
      </c>
      <c r="AG63" s="270">
        <v>80111600</v>
      </c>
      <c r="AH63" s="249" t="s">
        <v>687</v>
      </c>
      <c r="AI63" s="301">
        <f t="shared" si="38"/>
        <v>45345</v>
      </c>
      <c r="AJ63" s="301">
        <f t="shared" si="20"/>
        <v>45345</v>
      </c>
      <c r="AK63" s="302">
        <f t="shared" si="39"/>
        <v>5</v>
      </c>
      <c r="AL63" s="303" t="s">
        <v>241</v>
      </c>
      <c r="AM63" s="304" t="s">
        <v>242</v>
      </c>
      <c r="AN63" s="305">
        <f t="shared" si="40"/>
        <v>22000000</v>
      </c>
      <c r="AO63" s="305">
        <f t="shared" si="21"/>
        <v>22000000</v>
      </c>
      <c r="AP63" s="303" t="s">
        <v>244</v>
      </c>
      <c r="AQ63" s="303" t="s">
        <v>245</v>
      </c>
      <c r="AR63" s="360" t="s">
        <v>246</v>
      </c>
      <c r="AS63" s="306" t="s">
        <v>247</v>
      </c>
      <c r="AT63" s="307" t="str">
        <f t="shared" si="41"/>
        <v xml:space="preserve">SUBDIRECCIÓN DE GESTIÓN DE SISTEMAS DE INFORMACIÓN </v>
      </c>
      <c r="AU63" s="308" t="s">
        <v>248</v>
      </c>
      <c r="AV63" s="361" t="s">
        <v>249</v>
      </c>
      <c r="AW63" s="303" t="s">
        <v>244</v>
      </c>
      <c r="AX63" s="303" t="s">
        <v>244</v>
      </c>
      <c r="AY63" s="362" t="s">
        <v>250</v>
      </c>
      <c r="AZ63" s="363" t="s">
        <v>251</v>
      </c>
      <c r="BA63" s="363" t="s">
        <v>252</v>
      </c>
      <c r="BB63" s="363" t="s">
        <v>250</v>
      </c>
      <c r="BC63" s="363"/>
      <c r="BD63" s="363"/>
    </row>
    <row r="64" spans="1:56" ht="84" x14ac:dyDescent="0.2">
      <c r="A64" s="257" t="s">
        <v>307</v>
      </c>
      <c r="B64" s="299" t="s">
        <v>63</v>
      </c>
      <c r="C64" s="299" t="s">
        <v>25</v>
      </c>
      <c r="D64" s="299" t="s">
        <v>31</v>
      </c>
      <c r="E64" s="299"/>
      <c r="F64" s="350" t="s">
        <v>383</v>
      </c>
      <c r="G64" s="350" t="s">
        <v>374</v>
      </c>
      <c r="H64" s="299" t="s">
        <v>67</v>
      </c>
      <c r="I64" s="299">
        <v>4</v>
      </c>
      <c r="J64" s="251">
        <v>5500000</v>
      </c>
      <c r="K64" s="300">
        <f t="shared" si="14"/>
        <v>3.6363636363636376E-2</v>
      </c>
      <c r="L64" s="311">
        <f>IF(H64="OTRO",(J64*1.05),VLOOKUP((I64&amp;H64),'ESCALAS Salarios'!$D$2:$F$30,3,0))</f>
        <v>5700000</v>
      </c>
      <c r="M64" s="299">
        <v>1</v>
      </c>
      <c r="N64" s="299" t="s">
        <v>485</v>
      </c>
      <c r="O64" s="250">
        <v>45315</v>
      </c>
      <c r="P64" s="316">
        <v>45646</v>
      </c>
      <c r="Q64" s="312">
        <v>62700000</v>
      </c>
      <c r="R64" s="250"/>
      <c r="S64" s="250"/>
      <c r="T64" s="312">
        <f t="shared" si="42"/>
        <v>0</v>
      </c>
      <c r="U64" s="318">
        <f t="shared" si="43"/>
        <v>11</v>
      </c>
      <c r="V64" s="352">
        <f t="shared" si="44"/>
        <v>62700000</v>
      </c>
      <c r="W64" s="313">
        <v>61050000</v>
      </c>
      <c r="X64" s="353">
        <f t="shared" si="45"/>
        <v>2.7027027027026973E-2</v>
      </c>
      <c r="Y64" s="375">
        <v>80027001</v>
      </c>
      <c r="Z64" s="376" t="s">
        <v>36</v>
      </c>
      <c r="AA64" s="356">
        <f t="shared" si="46"/>
        <v>62700000</v>
      </c>
      <c r="AB64" s="270" t="s">
        <v>243</v>
      </c>
      <c r="AC64" s="393" t="s">
        <v>1</v>
      </c>
      <c r="AD64" s="358" t="s">
        <v>361</v>
      </c>
      <c r="AE64" s="358" t="s">
        <v>244</v>
      </c>
      <c r="AF64" s="359" t="str">
        <f t="shared" si="37"/>
        <v>CON-060</v>
      </c>
      <c r="AG64" s="270">
        <v>80111600</v>
      </c>
      <c r="AH64" s="249" t="s">
        <v>174</v>
      </c>
      <c r="AI64" s="301">
        <f t="shared" si="38"/>
        <v>45315</v>
      </c>
      <c r="AJ64" s="301">
        <f t="shared" si="20"/>
        <v>45315</v>
      </c>
      <c r="AK64" s="302">
        <f t="shared" si="39"/>
        <v>11</v>
      </c>
      <c r="AL64" s="303" t="s">
        <v>241</v>
      </c>
      <c r="AM64" s="304" t="s">
        <v>242</v>
      </c>
      <c r="AN64" s="305">
        <f t="shared" si="40"/>
        <v>62700000</v>
      </c>
      <c r="AO64" s="305">
        <f t="shared" si="21"/>
        <v>62700000</v>
      </c>
      <c r="AP64" s="303" t="s">
        <v>244</v>
      </c>
      <c r="AQ64" s="303" t="s">
        <v>245</v>
      </c>
      <c r="AR64" s="360" t="s">
        <v>246</v>
      </c>
      <c r="AS64" s="306" t="s">
        <v>247</v>
      </c>
      <c r="AT64" s="307" t="str">
        <f t="shared" si="41"/>
        <v xml:space="preserve">SUBDIRECCIÓN DE GESTIÓN DE SISTEMAS DE INFORMACIÓN </v>
      </c>
      <c r="AU64" s="308" t="s">
        <v>248</v>
      </c>
      <c r="AV64" s="361" t="s">
        <v>249</v>
      </c>
      <c r="AW64" s="303" t="s">
        <v>244</v>
      </c>
      <c r="AX64" s="303" t="s">
        <v>244</v>
      </c>
      <c r="AY64" s="362" t="s">
        <v>250</v>
      </c>
      <c r="AZ64" s="363" t="s">
        <v>251</v>
      </c>
      <c r="BA64" s="363" t="s">
        <v>252</v>
      </c>
      <c r="BB64" s="363" t="s">
        <v>250</v>
      </c>
      <c r="BC64" s="363"/>
      <c r="BD64" s="363"/>
    </row>
    <row r="65" spans="1:56" ht="109.5" customHeight="1" x14ac:dyDescent="0.2">
      <c r="A65" s="257" t="s">
        <v>308</v>
      </c>
      <c r="B65" s="299" t="s">
        <v>63</v>
      </c>
      <c r="C65" s="299" t="s">
        <v>25</v>
      </c>
      <c r="D65" s="299" t="s">
        <v>31</v>
      </c>
      <c r="E65" s="299"/>
      <c r="F65" s="350" t="s">
        <v>383</v>
      </c>
      <c r="G65" s="350" t="s">
        <v>374</v>
      </c>
      <c r="H65" s="299" t="s">
        <v>67</v>
      </c>
      <c r="I65" s="299">
        <v>1</v>
      </c>
      <c r="J65" s="251">
        <v>4550000</v>
      </c>
      <c r="K65" s="300">
        <f t="shared" ref="K65:K114" si="47">IF(J65="",1,((L65/J65)-1))</f>
        <v>3.2967032967033072E-2</v>
      </c>
      <c r="L65" s="311">
        <f>IF(H65="OTRO",(J65*1.05),VLOOKUP((I65&amp;H65),'ESCALAS Salarios'!$D$2:$F$30,3,0))</f>
        <v>4700000</v>
      </c>
      <c r="M65" s="299">
        <v>1</v>
      </c>
      <c r="N65" s="299" t="s">
        <v>485</v>
      </c>
      <c r="O65" s="250">
        <v>45315</v>
      </c>
      <c r="P65" s="316">
        <v>45646</v>
      </c>
      <c r="Q65" s="312">
        <v>51700000</v>
      </c>
      <c r="R65" s="250"/>
      <c r="S65" s="250"/>
      <c r="T65" s="312">
        <f t="shared" si="42"/>
        <v>0</v>
      </c>
      <c r="U65" s="318">
        <f t="shared" si="43"/>
        <v>11</v>
      </c>
      <c r="V65" s="352">
        <f t="shared" si="44"/>
        <v>51700000</v>
      </c>
      <c r="W65" s="313">
        <v>50050000</v>
      </c>
      <c r="X65" s="353">
        <f t="shared" si="45"/>
        <v>3.2967032967033072E-2</v>
      </c>
      <c r="Y65" s="375">
        <v>79482785</v>
      </c>
      <c r="Z65" s="376" t="s">
        <v>356</v>
      </c>
      <c r="AA65" s="356">
        <f t="shared" si="46"/>
        <v>51700000</v>
      </c>
      <c r="AB65" s="270" t="s">
        <v>243</v>
      </c>
      <c r="AC65" s="393" t="s">
        <v>1</v>
      </c>
      <c r="AD65" s="358" t="s">
        <v>361</v>
      </c>
      <c r="AE65" s="358" t="s">
        <v>244</v>
      </c>
      <c r="AF65" s="359" t="str">
        <f t="shared" si="37"/>
        <v>CON-061</v>
      </c>
      <c r="AG65" s="270">
        <v>80111600</v>
      </c>
      <c r="AH65" s="249" t="s">
        <v>211</v>
      </c>
      <c r="AI65" s="301">
        <f t="shared" si="38"/>
        <v>45315</v>
      </c>
      <c r="AJ65" s="301">
        <f t="shared" si="20"/>
        <v>45315</v>
      </c>
      <c r="AK65" s="302">
        <f t="shared" si="39"/>
        <v>11</v>
      </c>
      <c r="AL65" s="303" t="s">
        <v>241</v>
      </c>
      <c r="AM65" s="304" t="s">
        <v>242</v>
      </c>
      <c r="AN65" s="305">
        <f t="shared" si="40"/>
        <v>51700000</v>
      </c>
      <c r="AO65" s="305">
        <f t="shared" si="21"/>
        <v>51700000</v>
      </c>
      <c r="AP65" s="303" t="s">
        <v>244</v>
      </c>
      <c r="AQ65" s="303" t="s">
        <v>245</v>
      </c>
      <c r="AR65" s="360" t="s">
        <v>246</v>
      </c>
      <c r="AS65" s="306" t="s">
        <v>247</v>
      </c>
      <c r="AT65" s="307" t="str">
        <f t="shared" si="41"/>
        <v xml:space="preserve">SUBDIRECCIÓN DE GESTIÓN DE SISTEMAS DE INFORMACIÓN </v>
      </c>
      <c r="AU65" s="308" t="s">
        <v>248</v>
      </c>
      <c r="AV65" s="361" t="s">
        <v>249</v>
      </c>
      <c r="AW65" s="303" t="s">
        <v>244</v>
      </c>
      <c r="AX65" s="303" t="s">
        <v>244</v>
      </c>
      <c r="AY65" s="362" t="s">
        <v>250</v>
      </c>
      <c r="AZ65" s="363" t="s">
        <v>251</v>
      </c>
      <c r="BA65" s="363" t="s">
        <v>252</v>
      </c>
      <c r="BB65" s="363" t="s">
        <v>250</v>
      </c>
      <c r="BC65" s="363"/>
      <c r="BD65" s="363"/>
    </row>
    <row r="66" spans="1:56" ht="60" customHeight="1" x14ac:dyDescent="0.2">
      <c r="A66" s="257" t="s">
        <v>309</v>
      </c>
      <c r="B66" s="299" t="s">
        <v>63</v>
      </c>
      <c r="C66" s="299" t="s">
        <v>25</v>
      </c>
      <c r="D66" s="299" t="s">
        <v>31</v>
      </c>
      <c r="E66" s="299"/>
      <c r="F66" s="350" t="s">
        <v>383</v>
      </c>
      <c r="G66" s="350" t="s">
        <v>374</v>
      </c>
      <c r="H66" s="299" t="s">
        <v>69</v>
      </c>
      <c r="I66" s="299">
        <v>6</v>
      </c>
      <c r="J66" s="251">
        <v>4200000</v>
      </c>
      <c r="K66" s="300">
        <f t="shared" si="47"/>
        <v>4.7619047619047672E-2</v>
      </c>
      <c r="L66" s="311">
        <f>IF(H66="OTRO",(J66*1.05),VLOOKUP((I66&amp;H66),'ESCALAS Salarios'!$D$2:$F$30,3,0))</f>
        <v>4400000</v>
      </c>
      <c r="M66" s="299">
        <v>1</v>
      </c>
      <c r="N66" s="299" t="s">
        <v>485</v>
      </c>
      <c r="O66" s="250">
        <v>45383</v>
      </c>
      <c r="P66" s="316">
        <v>45646</v>
      </c>
      <c r="Q66" s="312">
        <v>39600000</v>
      </c>
      <c r="R66" s="250"/>
      <c r="S66" s="250"/>
      <c r="T66" s="312">
        <f t="shared" si="42"/>
        <v>0</v>
      </c>
      <c r="U66" s="318">
        <f t="shared" si="43"/>
        <v>9</v>
      </c>
      <c r="V66" s="352">
        <f t="shared" si="44"/>
        <v>39600000</v>
      </c>
      <c r="W66" s="313">
        <v>46200000</v>
      </c>
      <c r="X66" s="353">
        <f t="shared" si="45"/>
        <v>-0.1428571428571429</v>
      </c>
      <c r="Y66" s="375">
        <v>80832319</v>
      </c>
      <c r="Z66" s="376" t="s">
        <v>429</v>
      </c>
      <c r="AA66" s="356">
        <f t="shared" si="46"/>
        <v>39600000</v>
      </c>
      <c r="AB66" s="270" t="s">
        <v>243</v>
      </c>
      <c r="AC66" s="393" t="s">
        <v>1</v>
      </c>
      <c r="AD66" s="358" t="s">
        <v>361</v>
      </c>
      <c r="AE66" s="358" t="s">
        <v>244</v>
      </c>
      <c r="AF66" s="359" t="str">
        <f t="shared" si="37"/>
        <v>CON-062</v>
      </c>
      <c r="AG66" s="270">
        <v>80111600</v>
      </c>
      <c r="AH66" s="249" t="s">
        <v>716</v>
      </c>
      <c r="AI66" s="301">
        <f t="shared" si="38"/>
        <v>45383</v>
      </c>
      <c r="AJ66" s="301">
        <f t="shared" ref="AJ66:AJ114" si="48">+AI66</f>
        <v>45383</v>
      </c>
      <c r="AK66" s="302">
        <f t="shared" si="39"/>
        <v>9</v>
      </c>
      <c r="AL66" s="303" t="s">
        <v>241</v>
      </c>
      <c r="AM66" s="304" t="s">
        <v>242</v>
      </c>
      <c r="AN66" s="305">
        <f t="shared" si="40"/>
        <v>39600000</v>
      </c>
      <c r="AO66" s="305">
        <f t="shared" ref="AO66:AO113" si="49">+AN66</f>
        <v>39600000</v>
      </c>
      <c r="AP66" s="303" t="s">
        <v>244</v>
      </c>
      <c r="AQ66" s="303" t="s">
        <v>245</v>
      </c>
      <c r="AR66" s="360" t="s">
        <v>246</v>
      </c>
      <c r="AS66" s="306" t="s">
        <v>247</v>
      </c>
      <c r="AT66" s="307" t="str">
        <f t="shared" si="41"/>
        <v xml:space="preserve">SUBDIRECCIÓN DE GESTIÓN DE SISTEMAS DE INFORMACIÓN </v>
      </c>
      <c r="AU66" s="308" t="s">
        <v>248</v>
      </c>
      <c r="AV66" s="361" t="s">
        <v>249</v>
      </c>
      <c r="AW66" s="303" t="s">
        <v>244</v>
      </c>
      <c r="AX66" s="303" t="s">
        <v>244</v>
      </c>
      <c r="AY66" s="362" t="s">
        <v>250</v>
      </c>
      <c r="AZ66" s="363" t="s">
        <v>251</v>
      </c>
      <c r="BA66" s="363" t="s">
        <v>252</v>
      </c>
      <c r="BB66" s="363" t="s">
        <v>250</v>
      </c>
      <c r="BC66" s="363"/>
      <c r="BD66" s="363"/>
    </row>
    <row r="67" spans="1:56" ht="48" x14ac:dyDescent="0.2">
      <c r="A67" s="257" t="s">
        <v>310</v>
      </c>
      <c r="B67" s="299" t="s">
        <v>63</v>
      </c>
      <c r="C67" s="299" t="s">
        <v>25</v>
      </c>
      <c r="D67" s="299" t="s">
        <v>31</v>
      </c>
      <c r="E67" s="299"/>
      <c r="F67" s="350" t="s">
        <v>383</v>
      </c>
      <c r="G67" s="350" t="s">
        <v>374</v>
      </c>
      <c r="H67" s="299" t="s">
        <v>69</v>
      </c>
      <c r="I67" s="299">
        <v>3</v>
      </c>
      <c r="J67" s="251">
        <v>3400000</v>
      </c>
      <c r="K67" s="300">
        <f t="shared" si="47"/>
        <v>5.8823529411764719E-2</v>
      </c>
      <c r="L67" s="311">
        <f>IF(H67="OTRO",(J67*1.05),VLOOKUP((I67&amp;H67),'ESCALAS Salarios'!$D$2:$F$30,3,0))</f>
        <v>3600000</v>
      </c>
      <c r="M67" s="299">
        <v>1</v>
      </c>
      <c r="N67" s="299" t="s">
        <v>485</v>
      </c>
      <c r="O67" s="250">
        <v>45315</v>
      </c>
      <c r="P67" s="316">
        <v>45625</v>
      </c>
      <c r="Q67" s="312">
        <f t="shared" ref="Q67:Q109" si="50">IF($N67="MENSUAL",ROUND((((P67-O67))/30),0)*$L67*$M67,((P67-O67)/30)*$L67*$M67)</f>
        <v>37200000</v>
      </c>
      <c r="R67" s="250"/>
      <c r="S67" s="250"/>
      <c r="T67" s="312">
        <f t="shared" si="42"/>
        <v>0</v>
      </c>
      <c r="U67" s="318">
        <f t="shared" si="43"/>
        <v>10</v>
      </c>
      <c r="V67" s="352">
        <f t="shared" si="44"/>
        <v>37200000</v>
      </c>
      <c r="W67" s="313">
        <v>35700000</v>
      </c>
      <c r="X67" s="353">
        <f t="shared" si="45"/>
        <v>4.2016806722689148E-2</v>
      </c>
      <c r="Y67" s="375">
        <v>1010236414</v>
      </c>
      <c r="Z67" s="376" t="s">
        <v>430</v>
      </c>
      <c r="AA67" s="356">
        <f t="shared" si="46"/>
        <v>37200000</v>
      </c>
      <c r="AB67" s="270" t="s">
        <v>243</v>
      </c>
      <c r="AC67" s="393" t="s">
        <v>1</v>
      </c>
      <c r="AD67" s="358" t="s">
        <v>361</v>
      </c>
      <c r="AE67" s="358" t="s">
        <v>244</v>
      </c>
      <c r="AF67" s="359" t="str">
        <f t="shared" si="37"/>
        <v>CON-063</v>
      </c>
      <c r="AG67" s="270">
        <v>80111600</v>
      </c>
      <c r="AH67" s="249" t="s">
        <v>365</v>
      </c>
      <c r="AI67" s="301">
        <f t="shared" si="38"/>
        <v>45315</v>
      </c>
      <c r="AJ67" s="301">
        <f t="shared" si="48"/>
        <v>45315</v>
      </c>
      <c r="AK67" s="302">
        <f t="shared" ref="AK67:AK114" si="51">+U67</f>
        <v>10</v>
      </c>
      <c r="AL67" s="303" t="s">
        <v>241</v>
      </c>
      <c r="AM67" s="304" t="s">
        <v>242</v>
      </c>
      <c r="AN67" s="305">
        <f t="shared" ref="AN67:AN113" si="52">+V67</f>
        <v>37200000</v>
      </c>
      <c r="AO67" s="305">
        <f t="shared" si="49"/>
        <v>37200000</v>
      </c>
      <c r="AP67" s="303" t="s">
        <v>244</v>
      </c>
      <c r="AQ67" s="303" t="s">
        <v>245</v>
      </c>
      <c r="AR67" s="360" t="s">
        <v>246</v>
      </c>
      <c r="AS67" s="306" t="s">
        <v>247</v>
      </c>
      <c r="AT67" s="307" t="str">
        <f t="shared" si="41"/>
        <v xml:space="preserve">SUBDIRECCIÓN DE GESTIÓN DE SISTEMAS DE INFORMACIÓN </v>
      </c>
      <c r="AU67" s="308" t="s">
        <v>248</v>
      </c>
      <c r="AV67" s="361" t="s">
        <v>249</v>
      </c>
      <c r="AW67" s="303" t="s">
        <v>244</v>
      </c>
      <c r="AX67" s="303" t="s">
        <v>244</v>
      </c>
      <c r="AY67" s="362" t="s">
        <v>250</v>
      </c>
      <c r="AZ67" s="363" t="s">
        <v>251</v>
      </c>
      <c r="BA67" s="363" t="s">
        <v>252</v>
      </c>
      <c r="BB67" s="363" t="s">
        <v>250</v>
      </c>
      <c r="BC67" s="363"/>
      <c r="BD67" s="363"/>
    </row>
    <row r="68" spans="1:56" ht="48" x14ac:dyDescent="0.2">
      <c r="A68" s="257" t="s">
        <v>311</v>
      </c>
      <c r="B68" s="299" t="s">
        <v>63</v>
      </c>
      <c r="C68" s="299" t="s">
        <v>25</v>
      </c>
      <c r="D68" s="299" t="s">
        <v>31</v>
      </c>
      <c r="E68" s="299"/>
      <c r="F68" s="350" t="s">
        <v>383</v>
      </c>
      <c r="G68" s="350" t="s">
        <v>374</v>
      </c>
      <c r="H68" s="299" t="s">
        <v>69</v>
      </c>
      <c r="I68" s="299">
        <v>6</v>
      </c>
      <c r="J68" s="251">
        <v>4200000</v>
      </c>
      <c r="K68" s="300">
        <f t="shared" si="47"/>
        <v>4.7619047619047672E-2</v>
      </c>
      <c r="L68" s="311">
        <f>IF(H68="OTRO",(J68*1.05),VLOOKUP((I68&amp;H68),'ESCALAS Salarios'!$D$2:$F$30,3,0))</f>
        <v>4400000</v>
      </c>
      <c r="M68" s="299">
        <v>1</v>
      </c>
      <c r="N68" s="299" t="s">
        <v>485</v>
      </c>
      <c r="O68" s="250">
        <v>45315</v>
      </c>
      <c r="P68" s="316">
        <v>45625</v>
      </c>
      <c r="Q68" s="312">
        <v>45466600</v>
      </c>
      <c r="R68" s="250"/>
      <c r="S68" s="250"/>
      <c r="T68" s="312">
        <f t="shared" si="42"/>
        <v>0</v>
      </c>
      <c r="U68" s="318">
        <f t="shared" si="43"/>
        <v>10</v>
      </c>
      <c r="V68" s="352">
        <f t="shared" si="44"/>
        <v>45466600</v>
      </c>
      <c r="W68" s="313">
        <v>43680000</v>
      </c>
      <c r="X68" s="353">
        <f t="shared" si="45"/>
        <v>4.0902014652014707E-2</v>
      </c>
      <c r="Y68" s="375">
        <v>80058485</v>
      </c>
      <c r="Z68" s="376" t="s">
        <v>37</v>
      </c>
      <c r="AA68" s="356">
        <f t="shared" si="46"/>
        <v>45466600</v>
      </c>
      <c r="AB68" s="270" t="s">
        <v>243</v>
      </c>
      <c r="AC68" s="393" t="s">
        <v>1</v>
      </c>
      <c r="AD68" s="358" t="s">
        <v>361</v>
      </c>
      <c r="AE68" s="358" t="s">
        <v>244</v>
      </c>
      <c r="AF68" s="359" t="str">
        <f t="shared" si="37"/>
        <v>CON-064</v>
      </c>
      <c r="AG68" s="270">
        <v>80111600</v>
      </c>
      <c r="AH68" s="249" t="s">
        <v>175</v>
      </c>
      <c r="AI68" s="301">
        <f t="shared" si="38"/>
        <v>45315</v>
      </c>
      <c r="AJ68" s="301">
        <f t="shared" si="48"/>
        <v>45315</v>
      </c>
      <c r="AK68" s="302">
        <f t="shared" si="51"/>
        <v>10</v>
      </c>
      <c r="AL68" s="303" t="s">
        <v>241</v>
      </c>
      <c r="AM68" s="304" t="s">
        <v>242</v>
      </c>
      <c r="AN68" s="305">
        <f t="shared" si="52"/>
        <v>45466600</v>
      </c>
      <c r="AO68" s="305">
        <f t="shared" si="49"/>
        <v>45466600</v>
      </c>
      <c r="AP68" s="303" t="s">
        <v>244</v>
      </c>
      <c r="AQ68" s="303" t="s">
        <v>245</v>
      </c>
      <c r="AR68" s="360" t="s">
        <v>246</v>
      </c>
      <c r="AS68" s="306" t="s">
        <v>247</v>
      </c>
      <c r="AT68" s="307" t="str">
        <f t="shared" si="41"/>
        <v xml:space="preserve">SUBDIRECCIÓN DE GESTIÓN DE SISTEMAS DE INFORMACIÓN </v>
      </c>
      <c r="AU68" s="308" t="s">
        <v>248</v>
      </c>
      <c r="AV68" s="361" t="s">
        <v>249</v>
      </c>
      <c r="AW68" s="303" t="s">
        <v>244</v>
      </c>
      <c r="AX68" s="303" t="s">
        <v>244</v>
      </c>
      <c r="AY68" s="362" t="s">
        <v>250</v>
      </c>
      <c r="AZ68" s="363" t="s">
        <v>251</v>
      </c>
      <c r="BA68" s="363" t="s">
        <v>252</v>
      </c>
      <c r="BB68" s="363" t="s">
        <v>250</v>
      </c>
      <c r="BC68" s="363"/>
      <c r="BD68" s="363"/>
    </row>
    <row r="69" spans="1:56" ht="48" x14ac:dyDescent="0.2">
      <c r="A69" s="257" t="s">
        <v>312</v>
      </c>
      <c r="B69" s="299" t="s">
        <v>63</v>
      </c>
      <c r="C69" s="299" t="s">
        <v>25</v>
      </c>
      <c r="D69" s="299" t="s">
        <v>38</v>
      </c>
      <c r="E69" s="299" t="s">
        <v>82</v>
      </c>
      <c r="F69" s="350" t="s">
        <v>383</v>
      </c>
      <c r="G69" s="350" t="s">
        <v>374</v>
      </c>
      <c r="H69" s="299" t="s">
        <v>67</v>
      </c>
      <c r="I69" s="299">
        <v>3</v>
      </c>
      <c r="J69" s="251">
        <v>5000000</v>
      </c>
      <c r="K69" s="300">
        <f t="shared" si="47"/>
        <v>7.0000000000000062E-2</v>
      </c>
      <c r="L69" s="311">
        <f>IF(H69="OTRO",(J69*1.05),VLOOKUP((I69&amp;H69),'ESCALAS Salarios'!$D$2:$F$30,3,0))</f>
        <v>5350000</v>
      </c>
      <c r="M69" s="299">
        <v>1</v>
      </c>
      <c r="N69" s="299" t="s">
        <v>485</v>
      </c>
      <c r="O69" s="250">
        <v>45313</v>
      </c>
      <c r="P69" s="316">
        <v>45632</v>
      </c>
      <c r="Q69" s="312">
        <f t="shared" si="50"/>
        <v>56888333.333333328</v>
      </c>
      <c r="R69" s="250"/>
      <c r="S69" s="250"/>
      <c r="T69" s="312">
        <f t="shared" si="42"/>
        <v>0</v>
      </c>
      <c r="U69" s="318">
        <f t="shared" si="43"/>
        <v>11</v>
      </c>
      <c r="V69" s="352">
        <f t="shared" si="44"/>
        <v>56888333.333333328</v>
      </c>
      <c r="W69" s="313">
        <v>3166670</v>
      </c>
      <c r="X69" s="353">
        <f t="shared" ref="X69:X87" si="53">IF(W69="",1,IF(W69=0,1,((V69/W69)-1)))</f>
        <v>16.96471793187586</v>
      </c>
      <c r="Y69" s="375">
        <v>1032468510</v>
      </c>
      <c r="Z69" s="376" t="s">
        <v>431</v>
      </c>
      <c r="AA69" s="356">
        <f t="shared" si="46"/>
        <v>56888333.333333328</v>
      </c>
      <c r="AB69" s="270" t="s">
        <v>243</v>
      </c>
      <c r="AC69" s="393" t="s">
        <v>1</v>
      </c>
      <c r="AD69" s="358" t="s">
        <v>361</v>
      </c>
      <c r="AE69" s="358" t="s">
        <v>244</v>
      </c>
      <c r="AF69" s="359" t="str">
        <f t="shared" si="37"/>
        <v>CON-065</v>
      </c>
      <c r="AG69" s="270">
        <v>80111600</v>
      </c>
      <c r="AH69" s="249" t="s">
        <v>388</v>
      </c>
      <c r="AI69" s="301">
        <f t="shared" si="38"/>
        <v>45313</v>
      </c>
      <c r="AJ69" s="301">
        <f t="shared" si="48"/>
        <v>45313</v>
      </c>
      <c r="AK69" s="302">
        <f t="shared" si="51"/>
        <v>11</v>
      </c>
      <c r="AL69" s="303" t="s">
        <v>241</v>
      </c>
      <c r="AM69" s="304" t="s">
        <v>242</v>
      </c>
      <c r="AN69" s="305">
        <f t="shared" si="52"/>
        <v>56888333.333333328</v>
      </c>
      <c r="AO69" s="305">
        <f t="shared" si="49"/>
        <v>56888333.333333328</v>
      </c>
      <c r="AP69" s="303" t="s">
        <v>244</v>
      </c>
      <c r="AQ69" s="303" t="s">
        <v>245</v>
      </c>
      <c r="AR69" s="360" t="s">
        <v>246</v>
      </c>
      <c r="AS69" s="306" t="s">
        <v>247</v>
      </c>
      <c r="AT69" s="307" t="str">
        <f t="shared" si="41"/>
        <v>SUBDIRECCIÓN DE BIENESTAR UNIVERSITARIO</v>
      </c>
      <c r="AU69" s="308" t="s">
        <v>248</v>
      </c>
      <c r="AV69" s="361" t="s">
        <v>249</v>
      </c>
      <c r="AW69" s="303" t="s">
        <v>244</v>
      </c>
      <c r="AX69" s="303" t="s">
        <v>244</v>
      </c>
      <c r="AY69" s="362" t="s">
        <v>250</v>
      </c>
      <c r="AZ69" s="363" t="s">
        <v>251</v>
      </c>
      <c r="BA69" s="363" t="s">
        <v>252</v>
      </c>
      <c r="BB69" s="363" t="s">
        <v>250</v>
      </c>
      <c r="BC69" s="363"/>
      <c r="BD69" s="363"/>
    </row>
    <row r="70" spans="1:56" ht="48" x14ac:dyDescent="0.2">
      <c r="A70" s="257" t="s">
        <v>313</v>
      </c>
      <c r="B70" s="299" t="s">
        <v>63</v>
      </c>
      <c r="C70" s="299" t="s">
        <v>25</v>
      </c>
      <c r="D70" s="299" t="s">
        <v>38</v>
      </c>
      <c r="E70" s="299" t="s">
        <v>83</v>
      </c>
      <c r="F70" s="350" t="s">
        <v>383</v>
      </c>
      <c r="G70" s="350" t="s">
        <v>374</v>
      </c>
      <c r="H70" s="299" t="s">
        <v>69</v>
      </c>
      <c r="I70" s="299">
        <v>1</v>
      </c>
      <c r="J70" s="251">
        <v>3000000</v>
      </c>
      <c r="K70" s="300">
        <f t="shared" si="47"/>
        <v>3.3333333333333437E-2</v>
      </c>
      <c r="L70" s="311">
        <f>IF(H70="OTRO",(J70*1.05),VLOOKUP((I70&amp;H70),'ESCALAS Salarios'!$D$2:$F$30,3,0))</f>
        <v>3100000</v>
      </c>
      <c r="M70" s="299">
        <v>1</v>
      </c>
      <c r="N70" s="299" t="s">
        <v>485</v>
      </c>
      <c r="O70" s="250">
        <v>45327</v>
      </c>
      <c r="P70" s="316">
        <v>45632</v>
      </c>
      <c r="Q70" s="312">
        <f t="shared" si="50"/>
        <v>31516666.666666664</v>
      </c>
      <c r="R70" s="250"/>
      <c r="S70" s="250"/>
      <c r="T70" s="312">
        <f t="shared" si="42"/>
        <v>0</v>
      </c>
      <c r="U70" s="318">
        <f t="shared" si="43"/>
        <v>10</v>
      </c>
      <c r="V70" s="352">
        <f t="shared" si="44"/>
        <v>31516666.666666664</v>
      </c>
      <c r="W70" s="313">
        <v>30500000</v>
      </c>
      <c r="X70" s="353">
        <f t="shared" si="53"/>
        <v>3.3333333333333215E-2</v>
      </c>
      <c r="Y70" s="375">
        <v>80803237</v>
      </c>
      <c r="Z70" s="376" t="s">
        <v>432</v>
      </c>
      <c r="AA70" s="356">
        <f t="shared" si="46"/>
        <v>31516666.666666664</v>
      </c>
      <c r="AB70" s="270" t="s">
        <v>243</v>
      </c>
      <c r="AC70" s="393" t="s">
        <v>15</v>
      </c>
      <c r="AD70" s="358" t="s">
        <v>361</v>
      </c>
      <c r="AE70" s="358" t="s">
        <v>244</v>
      </c>
      <c r="AF70" s="359" t="str">
        <f t="shared" si="37"/>
        <v>CON-066</v>
      </c>
      <c r="AG70" s="270">
        <v>80111600</v>
      </c>
      <c r="AH70" s="249" t="s">
        <v>176</v>
      </c>
      <c r="AI70" s="301">
        <f t="shared" si="38"/>
        <v>45327</v>
      </c>
      <c r="AJ70" s="301">
        <f t="shared" si="48"/>
        <v>45327</v>
      </c>
      <c r="AK70" s="302">
        <f t="shared" si="51"/>
        <v>10</v>
      </c>
      <c r="AL70" s="303" t="s">
        <v>241</v>
      </c>
      <c r="AM70" s="304" t="s">
        <v>242</v>
      </c>
      <c r="AN70" s="305">
        <f t="shared" si="52"/>
        <v>31516666.666666664</v>
      </c>
      <c r="AO70" s="305">
        <f t="shared" si="49"/>
        <v>31516666.666666664</v>
      </c>
      <c r="AP70" s="303" t="s">
        <v>244</v>
      </c>
      <c r="AQ70" s="303" t="s">
        <v>245</v>
      </c>
      <c r="AR70" s="360" t="s">
        <v>246</v>
      </c>
      <c r="AS70" s="306" t="s">
        <v>247</v>
      </c>
      <c r="AT70" s="307" t="str">
        <f t="shared" si="41"/>
        <v>SUBDIRECCIÓN DE BIENESTAR UNIVERSITARIO</v>
      </c>
      <c r="AU70" s="308" t="s">
        <v>248</v>
      </c>
      <c r="AV70" s="361" t="s">
        <v>249</v>
      </c>
      <c r="AW70" s="303" t="s">
        <v>244</v>
      </c>
      <c r="AX70" s="303" t="s">
        <v>244</v>
      </c>
      <c r="AY70" s="362" t="s">
        <v>250</v>
      </c>
      <c r="AZ70" s="363" t="s">
        <v>251</v>
      </c>
      <c r="BA70" s="363" t="s">
        <v>252</v>
      </c>
      <c r="BB70" s="363" t="s">
        <v>250</v>
      </c>
      <c r="BC70" s="363"/>
      <c r="BD70" s="363"/>
    </row>
    <row r="71" spans="1:56" ht="36" x14ac:dyDescent="0.2">
      <c r="A71" s="257" t="s">
        <v>314</v>
      </c>
      <c r="B71" s="299" t="s">
        <v>63</v>
      </c>
      <c r="C71" s="299" t="s">
        <v>25</v>
      </c>
      <c r="D71" s="299" t="s">
        <v>38</v>
      </c>
      <c r="E71" s="299" t="s">
        <v>84</v>
      </c>
      <c r="F71" s="350" t="s">
        <v>39</v>
      </c>
      <c r="G71" s="350" t="s">
        <v>75</v>
      </c>
      <c r="H71" s="299" t="s">
        <v>71</v>
      </c>
      <c r="I71" s="299">
        <v>3</v>
      </c>
      <c r="J71" s="311">
        <v>1712528.2124999999</v>
      </c>
      <c r="K71" s="300">
        <f t="shared" si="47"/>
        <v>8.0274173877296073E-2</v>
      </c>
      <c r="L71" s="311">
        <f>IF(H71="OTRO",(J71*1.05),VLOOKUP((I71&amp;H71),'ESCALAS Salarios'!$D$2:$F$30,3,0))</f>
        <v>1850000</v>
      </c>
      <c r="M71" s="299">
        <v>1</v>
      </c>
      <c r="N71" s="299" t="s">
        <v>485</v>
      </c>
      <c r="O71" s="250">
        <v>45335</v>
      </c>
      <c r="P71" s="316">
        <v>45449</v>
      </c>
      <c r="Q71" s="312">
        <f t="shared" ref="Q71" si="54">IF($N71="MENSUAL",ROUND((((P71-O71))/30),0)*$L71*$M71,((P71-O71)/30)*$L71*$M71)</f>
        <v>7030000</v>
      </c>
      <c r="R71" s="250">
        <v>45488</v>
      </c>
      <c r="S71" s="377">
        <v>45624</v>
      </c>
      <c r="T71" s="312">
        <f t="shared" si="42"/>
        <v>8386666.666666666</v>
      </c>
      <c r="U71" s="318">
        <f t="shared" si="43"/>
        <v>8</v>
      </c>
      <c r="V71" s="352">
        <f t="shared" si="44"/>
        <v>15416666.666666666</v>
      </c>
      <c r="W71" s="313">
        <v>16954029.303750001</v>
      </c>
      <c r="X71" s="353">
        <f t="shared" si="53"/>
        <v>-9.0678304817090938E-2</v>
      </c>
      <c r="Y71" s="375">
        <v>1032401108</v>
      </c>
      <c r="Z71" s="376" t="s">
        <v>433</v>
      </c>
      <c r="AA71" s="356">
        <f t="shared" si="46"/>
        <v>15416666.666666666</v>
      </c>
      <c r="AB71" s="270" t="s">
        <v>243</v>
      </c>
      <c r="AC71" s="393" t="s">
        <v>15</v>
      </c>
      <c r="AD71" s="358" t="s">
        <v>361</v>
      </c>
      <c r="AE71" s="358" t="s">
        <v>244</v>
      </c>
      <c r="AF71" s="359" t="str">
        <f t="shared" si="37"/>
        <v>CON-067</v>
      </c>
      <c r="AG71" s="270">
        <v>80111600</v>
      </c>
      <c r="AH71" s="249" t="s">
        <v>177</v>
      </c>
      <c r="AI71" s="301">
        <f t="shared" si="38"/>
        <v>45335</v>
      </c>
      <c r="AJ71" s="301">
        <f t="shared" si="48"/>
        <v>45335</v>
      </c>
      <c r="AK71" s="302">
        <f t="shared" si="51"/>
        <v>8</v>
      </c>
      <c r="AL71" s="303" t="s">
        <v>241</v>
      </c>
      <c r="AM71" s="304" t="s">
        <v>242</v>
      </c>
      <c r="AN71" s="305">
        <f t="shared" si="52"/>
        <v>15416666.666666666</v>
      </c>
      <c r="AO71" s="305">
        <f t="shared" si="49"/>
        <v>15416666.666666666</v>
      </c>
      <c r="AP71" s="303" t="s">
        <v>244</v>
      </c>
      <c r="AQ71" s="303" t="s">
        <v>245</v>
      </c>
      <c r="AR71" s="360" t="s">
        <v>246</v>
      </c>
      <c r="AS71" s="306" t="s">
        <v>247</v>
      </c>
      <c r="AT71" s="307" t="str">
        <f t="shared" si="41"/>
        <v>SUBDIRECCIÓN DE BIENESTAR UNIVERSITARIO</v>
      </c>
      <c r="AU71" s="308" t="s">
        <v>248</v>
      </c>
      <c r="AV71" s="361" t="s">
        <v>249</v>
      </c>
      <c r="AW71" s="303" t="s">
        <v>244</v>
      </c>
      <c r="AX71" s="303" t="s">
        <v>244</v>
      </c>
      <c r="AY71" s="362" t="s">
        <v>250</v>
      </c>
      <c r="AZ71" s="363" t="s">
        <v>251</v>
      </c>
      <c r="BA71" s="363" t="s">
        <v>252</v>
      </c>
      <c r="BB71" s="363" t="s">
        <v>250</v>
      </c>
      <c r="BC71" s="363"/>
      <c r="BD71" s="363"/>
    </row>
    <row r="72" spans="1:56" ht="60" x14ac:dyDescent="0.2">
      <c r="A72" s="257" t="s">
        <v>315</v>
      </c>
      <c r="B72" s="299" t="s">
        <v>63</v>
      </c>
      <c r="C72" s="299" t="s">
        <v>25</v>
      </c>
      <c r="D72" s="299" t="s">
        <v>38</v>
      </c>
      <c r="E72" s="299" t="s">
        <v>84</v>
      </c>
      <c r="F72" s="350" t="s">
        <v>39</v>
      </c>
      <c r="G72" s="350" t="s">
        <v>75</v>
      </c>
      <c r="H72" s="299" t="s">
        <v>71</v>
      </c>
      <c r="I72" s="299">
        <v>3</v>
      </c>
      <c r="J72" s="311">
        <v>1712528.2124999999</v>
      </c>
      <c r="K72" s="300">
        <f t="shared" si="47"/>
        <v>8.0274173877296073E-2</v>
      </c>
      <c r="L72" s="311">
        <f>IF(H72="OTRO",(J72*1.05),VLOOKUP((I72&amp;H72),'ESCALAS Salarios'!$D$2:$F$30,3,0))</f>
        <v>1850000</v>
      </c>
      <c r="M72" s="299">
        <v>1</v>
      </c>
      <c r="N72" s="299" t="s">
        <v>485</v>
      </c>
      <c r="O72" s="250">
        <v>45335</v>
      </c>
      <c r="P72" s="316">
        <v>45449</v>
      </c>
      <c r="Q72" s="312">
        <f t="shared" si="50"/>
        <v>7030000</v>
      </c>
      <c r="R72" s="250">
        <v>45517</v>
      </c>
      <c r="S72" s="377">
        <v>45624</v>
      </c>
      <c r="T72" s="312">
        <f t="shared" si="42"/>
        <v>6598333.333333334</v>
      </c>
      <c r="U72" s="318">
        <f t="shared" si="43"/>
        <v>7</v>
      </c>
      <c r="V72" s="352">
        <f t="shared" si="44"/>
        <v>13628333.333333334</v>
      </c>
      <c r="W72" s="313">
        <f>6621775.755*2.075</f>
        <v>13740184.691625001</v>
      </c>
      <c r="X72" s="353">
        <f t="shared" si="53"/>
        <v>-8.140455226911425E-3</v>
      </c>
      <c r="Y72" s="375">
        <v>1072713023</v>
      </c>
      <c r="Z72" s="376" t="s">
        <v>434</v>
      </c>
      <c r="AA72" s="356">
        <f t="shared" si="46"/>
        <v>13628333.333333334</v>
      </c>
      <c r="AB72" s="270" t="s">
        <v>243</v>
      </c>
      <c r="AC72" s="393" t="s">
        <v>15</v>
      </c>
      <c r="AD72" s="358" t="s">
        <v>361</v>
      </c>
      <c r="AE72" s="358" t="s">
        <v>244</v>
      </c>
      <c r="AF72" s="359" t="str">
        <f t="shared" si="37"/>
        <v>CON-068</v>
      </c>
      <c r="AG72" s="270">
        <v>80111600</v>
      </c>
      <c r="AH72" s="249" t="s">
        <v>178</v>
      </c>
      <c r="AI72" s="301">
        <f t="shared" si="38"/>
        <v>45335</v>
      </c>
      <c r="AJ72" s="301">
        <f t="shared" si="48"/>
        <v>45335</v>
      </c>
      <c r="AK72" s="302">
        <f t="shared" si="51"/>
        <v>7</v>
      </c>
      <c r="AL72" s="303" t="s">
        <v>241</v>
      </c>
      <c r="AM72" s="304" t="s">
        <v>242</v>
      </c>
      <c r="AN72" s="305">
        <f t="shared" si="52"/>
        <v>13628333.333333334</v>
      </c>
      <c r="AO72" s="305">
        <f t="shared" si="49"/>
        <v>13628333.333333334</v>
      </c>
      <c r="AP72" s="303" t="s">
        <v>244</v>
      </c>
      <c r="AQ72" s="303" t="s">
        <v>245</v>
      </c>
      <c r="AR72" s="360" t="s">
        <v>246</v>
      </c>
      <c r="AS72" s="306" t="s">
        <v>247</v>
      </c>
      <c r="AT72" s="307" t="str">
        <f t="shared" si="41"/>
        <v>SUBDIRECCIÓN DE BIENESTAR UNIVERSITARIO</v>
      </c>
      <c r="AU72" s="308" t="s">
        <v>248</v>
      </c>
      <c r="AV72" s="361" t="s">
        <v>249</v>
      </c>
      <c r="AW72" s="303" t="s">
        <v>244</v>
      </c>
      <c r="AX72" s="303" t="s">
        <v>244</v>
      </c>
      <c r="AY72" s="362" t="s">
        <v>250</v>
      </c>
      <c r="AZ72" s="363" t="s">
        <v>251</v>
      </c>
      <c r="BA72" s="363" t="s">
        <v>252</v>
      </c>
      <c r="BB72" s="363" t="s">
        <v>250</v>
      </c>
      <c r="BC72" s="363"/>
      <c r="BD72" s="363"/>
    </row>
    <row r="73" spans="1:56" ht="60" x14ac:dyDescent="0.2">
      <c r="A73" s="257" t="s">
        <v>316</v>
      </c>
      <c r="B73" s="299" t="s">
        <v>63</v>
      </c>
      <c r="C73" s="299" t="s">
        <v>25</v>
      </c>
      <c r="D73" s="299" t="s">
        <v>38</v>
      </c>
      <c r="E73" s="299" t="s">
        <v>84</v>
      </c>
      <c r="F73" s="350" t="s">
        <v>39</v>
      </c>
      <c r="G73" s="350" t="s">
        <v>75</v>
      </c>
      <c r="H73" s="299" t="s">
        <v>71</v>
      </c>
      <c r="I73" s="299">
        <v>3</v>
      </c>
      <c r="J73" s="311">
        <v>1712528.2124999999</v>
      </c>
      <c r="K73" s="300">
        <f t="shared" si="47"/>
        <v>8.0274173877296073E-2</v>
      </c>
      <c r="L73" s="311">
        <f>IF(H73="OTRO",(J73*1.05),VLOOKUP((I73&amp;H73),'ESCALAS Salarios'!$D$2:$F$30,3,0))</f>
        <v>1850000</v>
      </c>
      <c r="M73" s="299">
        <v>1</v>
      </c>
      <c r="N73" s="299" t="s">
        <v>485</v>
      </c>
      <c r="O73" s="250">
        <v>45335</v>
      </c>
      <c r="P73" s="316">
        <v>45449</v>
      </c>
      <c r="Q73" s="312">
        <f t="shared" ref="Q73:Q80" si="55">IF($N73="MENSUAL",ROUND((((P73-O73))/30),0)*$L73*$M73,((P73-O73)/30)*$L73*$M73)</f>
        <v>7030000</v>
      </c>
      <c r="R73" s="250">
        <v>45517</v>
      </c>
      <c r="S73" s="377">
        <v>45624</v>
      </c>
      <c r="T73" s="312">
        <f t="shared" si="42"/>
        <v>6598333.333333334</v>
      </c>
      <c r="U73" s="318">
        <f t="shared" si="43"/>
        <v>7</v>
      </c>
      <c r="V73" s="352">
        <f t="shared" si="44"/>
        <v>13628333.333333334</v>
      </c>
      <c r="W73" s="313">
        <f t="shared" ref="W73:W87" si="56">6621775.755*2.075</f>
        <v>13740184.691625001</v>
      </c>
      <c r="X73" s="353">
        <f t="shared" si="53"/>
        <v>-8.140455226911425E-3</v>
      </c>
      <c r="Y73" s="375">
        <v>1075669700</v>
      </c>
      <c r="Z73" s="376" t="s">
        <v>435</v>
      </c>
      <c r="AA73" s="356">
        <f t="shared" si="46"/>
        <v>13628333.333333334</v>
      </c>
      <c r="AB73" s="270" t="s">
        <v>243</v>
      </c>
      <c r="AC73" s="393" t="s">
        <v>15</v>
      </c>
      <c r="AD73" s="358" t="s">
        <v>361</v>
      </c>
      <c r="AE73" s="358" t="s">
        <v>244</v>
      </c>
      <c r="AF73" s="359" t="str">
        <f t="shared" si="37"/>
        <v>CON-069</v>
      </c>
      <c r="AG73" s="270">
        <v>80111600</v>
      </c>
      <c r="AH73" s="249" t="s">
        <v>179</v>
      </c>
      <c r="AI73" s="301">
        <f t="shared" si="38"/>
        <v>45335</v>
      </c>
      <c r="AJ73" s="301">
        <f t="shared" si="48"/>
        <v>45335</v>
      </c>
      <c r="AK73" s="302">
        <f t="shared" si="51"/>
        <v>7</v>
      </c>
      <c r="AL73" s="303" t="s">
        <v>241</v>
      </c>
      <c r="AM73" s="304" t="s">
        <v>242</v>
      </c>
      <c r="AN73" s="305">
        <f t="shared" si="52"/>
        <v>13628333.333333334</v>
      </c>
      <c r="AO73" s="305">
        <f t="shared" si="49"/>
        <v>13628333.333333334</v>
      </c>
      <c r="AP73" s="303" t="s">
        <v>244</v>
      </c>
      <c r="AQ73" s="303" t="s">
        <v>245</v>
      </c>
      <c r="AR73" s="360" t="s">
        <v>246</v>
      </c>
      <c r="AS73" s="306" t="s">
        <v>247</v>
      </c>
      <c r="AT73" s="307" t="str">
        <f t="shared" si="41"/>
        <v>SUBDIRECCIÓN DE BIENESTAR UNIVERSITARIO</v>
      </c>
      <c r="AU73" s="308" t="s">
        <v>248</v>
      </c>
      <c r="AV73" s="361" t="s">
        <v>249</v>
      </c>
      <c r="AW73" s="303" t="s">
        <v>244</v>
      </c>
      <c r="AX73" s="303" t="s">
        <v>244</v>
      </c>
      <c r="AY73" s="362" t="s">
        <v>250</v>
      </c>
      <c r="AZ73" s="363" t="s">
        <v>251</v>
      </c>
      <c r="BA73" s="363" t="s">
        <v>252</v>
      </c>
      <c r="BB73" s="363" t="s">
        <v>250</v>
      </c>
      <c r="BC73" s="363"/>
      <c r="BD73" s="363"/>
    </row>
    <row r="74" spans="1:56" ht="60" x14ac:dyDescent="0.2">
      <c r="A74" s="257" t="s">
        <v>317</v>
      </c>
      <c r="B74" s="299" t="s">
        <v>63</v>
      </c>
      <c r="C74" s="299" t="s">
        <v>25</v>
      </c>
      <c r="D74" s="299" t="s">
        <v>38</v>
      </c>
      <c r="E74" s="299" t="s">
        <v>84</v>
      </c>
      <c r="F74" s="350" t="s">
        <v>39</v>
      </c>
      <c r="G74" s="350" t="s">
        <v>75</v>
      </c>
      <c r="H74" s="299" t="s">
        <v>71</v>
      </c>
      <c r="I74" s="299">
        <v>3</v>
      </c>
      <c r="J74" s="311">
        <v>1712528.2124999999</v>
      </c>
      <c r="K74" s="300">
        <f t="shared" si="47"/>
        <v>8.0274173877296073E-2</v>
      </c>
      <c r="L74" s="311">
        <f>IF(H74="OTRO",(J74*1.05),VLOOKUP((I74&amp;H74),'ESCALAS Salarios'!$D$2:$F$30,3,0))</f>
        <v>1850000</v>
      </c>
      <c r="M74" s="299">
        <v>1</v>
      </c>
      <c r="N74" s="299" t="s">
        <v>485</v>
      </c>
      <c r="O74" s="250">
        <v>45335</v>
      </c>
      <c r="P74" s="316">
        <v>45449</v>
      </c>
      <c r="Q74" s="312">
        <f t="shared" si="55"/>
        <v>7030000</v>
      </c>
      <c r="R74" s="250">
        <v>45517</v>
      </c>
      <c r="S74" s="377">
        <v>45624</v>
      </c>
      <c r="T74" s="312">
        <f t="shared" si="42"/>
        <v>6598333.333333334</v>
      </c>
      <c r="U74" s="318">
        <f t="shared" si="43"/>
        <v>7</v>
      </c>
      <c r="V74" s="352">
        <f t="shared" si="44"/>
        <v>13628333.333333334</v>
      </c>
      <c r="W74" s="313">
        <f t="shared" si="56"/>
        <v>13740184.691625001</v>
      </c>
      <c r="X74" s="353">
        <f t="shared" si="53"/>
        <v>-8.140455226911425E-3</v>
      </c>
      <c r="Y74" s="375">
        <v>80747625</v>
      </c>
      <c r="Z74" s="376" t="s">
        <v>436</v>
      </c>
      <c r="AA74" s="356">
        <f t="shared" si="46"/>
        <v>13628333.333333334</v>
      </c>
      <c r="AB74" s="270" t="s">
        <v>243</v>
      </c>
      <c r="AC74" s="393" t="s">
        <v>15</v>
      </c>
      <c r="AD74" s="358" t="s">
        <v>361</v>
      </c>
      <c r="AE74" s="358" t="s">
        <v>244</v>
      </c>
      <c r="AF74" s="359" t="str">
        <f t="shared" si="37"/>
        <v>CON-070</v>
      </c>
      <c r="AG74" s="270">
        <v>80111600</v>
      </c>
      <c r="AH74" s="249" t="s">
        <v>180</v>
      </c>
      <c r="AI74" s="301">
        <f t="shared" si="38"/>
        <v>45335</v>
      </c>
      <c r="AJ74" s="301">
        <f t="shared" si="48"/>
        <v>45335</v>
      </c>
      <c r="AK74" s="302">
        <f t="shared" si="51"/>
        <v>7</v>
      </c>
      <c r="AL74" s="303" t="s">
        <v>241</v>
      </c>
      <c r="AM74" s="304" t="s">
        <v>242</v>
      </c>
      <c r="AN74" s="305">
        <f t="shared" si="52"/>
        <v>13628333.333333334</v>
      </c>
      <c r="AO74" s="305">
        <f t="shared" si="49"/>
        <v>13628333.333333334</v>
      </c>
      <c r="AP74" s="303" t="s">
        <v>244</v>
      </c>
      <c r="AQ74" s="303" t="s">
        <v>245</v>
      </c>
      <c r="AR74" s="360" t="s">
        <v>246</v>
      </c>
      <c r="AS74" s="306" t="s">
        <v>247</v>
      </c>
      <c r="AT74" s="307" t="str">
        <f t="shared" si="41"/>
        <v>SUBDIRECCIÓN DE BIENESTAR UNIVERSITARIO</v>
      </c>
      <c r="AU74" s="308" t="s">
        <v>248</v>
      </c>
      <c r="AV74" s="361" t="s">
        <v>249</v>
      </c>
      <c r="AW74" s="303" t="s">
        <v>244</v>
      </c>
      <c r="AX74" s="303" t="s">
        <v>244</v>
      </c>
      <c r="AY74" s="362" t="s">
        <v>250</v>
      </c>
      <c r="AZ74" s="363" t="s">
        <v>251</v>
      </c>
      <c r="BA74" s="363" t="s">
        <v>252</v>
      </c>
      <c r="BB74" s="363" t="s">
        <v>250</v>
      </c>
      <c r="BC74" s="363"/>
      <c r="BD74" s="363"/>
    </row>
    <row r="75" spans="1:56" ht="86.25" customHeight="1" x14ac:dyDescent="0.2">
      <c r="A75" s="257" t="s">
        <v>318</v>
      </c>
      <c r="B75" s="299" t="s">
        <v>63</v>
      </c>
      <c r="C75" s="299" t="s">
        <v>25</v>
      </c>
      <c r="D75" s="299" t="s">
        <v>38</v>
      </c>
      <c r="E75" s="299" t="s">
        <v>84</v>
      </c>
      <c r="F75" s="350" t="s">
        <v>39</v>
      </c>
      <c r="G75" s="350" t="s">
        <v>75</v>
      </c>
      <c r="H75" s="299" t="s">
        <v>71</v>
      </c>
      <c r="I75" s="299">
        <v>3</v>
      </c>
      <c r="J75" s="311">
        <v>1712528.2124999999</v>
      </c>
      <c r="K75" s="300">
        <f t="shared" si="47"/>
        <v>8.0274173877296073E-2</v>
      </c>
      <c r="L75" s="311">
        <f>IF(H75="OTRO",(J75*1.05),VLOOKUP((I75&amp;H75),'ESCALAS Salarios'!$D$2:$F$30,3,0))</f>
        <v>1850000</v>
      </c>
      <c r="M75" s="299">
        <v>1</v>
      </c>
      <c r="N75" s="299" t="s">
        <v>485</v>
      </c>
      <c r="O75" s="250">
        <v>45335</v>
      </c>
      <c r="P75" s="316">
        <v>45449</v>
      </c>
      <c r="Q75" s="312">
        <f t="shared" si="55"/>
        <v>7030000</v>
      </c>
      <c r="R75" s="250">
        <v>45517</v>
      </c>
      <c r="S75" s="377">
        <v>45624</v>
      </c>
      <c r="T75" s="312">
        <f t="shared" si="42"/>
        <v>6598333.333333334</v>
      </c>
      <c r="U75" s="318">
        <f t="shared" si="43"/>
        <v>7</v>
      </c>
      <c r="V75" s="352">
        <f t="shared" si="44"/>
        <v>13628333.333333334</v>
      </c>
      <c r="W75" s="313">
        <f t="shared" si="56"/>
        <v>13740184.691625001</v>
      </c>
      <c r="X75" s="353">
        <f t="shared" si="53"/>
        <v>-8.140455226911425E-3</v>
      </c>
      <c r="Y75" s="375">
        <v>1031125970</v>
      </c>
      <c r="Z75" s="376" t="s">
        <v>437</v>
      </c>
      <c r="AA75" s="356">
        <f t="shared" si="46"/>
        <v>13628333.333333334</v>
      </c>
      <c r="AB75" s="270" t="s">
        <v>243</v>
      </c>
      <c r="AC75" s="393" t="s">
        <v>15</v>
      </c>
      <c r="AD75" s="358" t="s">
        <v>361</v>
      </c>
      <c r="AE75" s="358" t="s">
        <v>244</v>
      </c>
      <c r="AF75" s="359" t="str">
        <f t="shared" si="37"/>
        <v>CON-071</v>
      </c>
      <c r="AG75" s="270">
        <v>80111600</v>
      </c>
      <c r="AH75" s="249" t="s">
        <v>181</v>
      </c>
      <c r="AI75" s="301">
        <f t="shared" si="38"/>
        <v>45335</v>
      </c>
      <c r="AJ75" s="301">
        <f t="shared" si="48"/>
        <v>45335</v>
      </c>
      <c r="AK75" s="302">
        <f t="shared" si="51"/>
        <v>7</v>
      </c>
      <c r="AL75" s="303" t="s">
        <v>241</v>
      </c>
      <c r="AM75" s="304" t="s">
        <v>242</v>
      </c>
      <c r="AN75" s="305">
        <f t="shared" si="52"/>
        <v>13628333.333333334</v>
      </c>
      <c r="AO75" s="305">
        <f t="shared" si="49"/>
        <v>13628333.333333334</v>
      </c>
      <c r="AP75" s="303" t="s">
        <v>244</v>
      </c>
      <c r="AQ75" s="303" t="s">
        <v>245</v>
      </c>
      <c r="AR75" s="360" t="s">
        <v>246</v>
      </c>
      <c r="AS75" s="306" t="s">
        <v>247</v>
      </c>
      <c r="AT75" s="307" t="str">
        <f t="shared" si="41"/>
        <v>SUBDIRECCIÓN DE BIENESTAR UNIVERSITARIO</v>
      </c>
      <c r="AU75" s="308" t="s">
        <v>248</v>
      </c>
      <c r="AV75" s="361" t="s">
        <v>249</v>
      </c>
      <c r="AW75" s="303" t="s">
        <v>244</v>
      </c>
      <c r="AX75" s="303" t="s">
        <v>244</v>
      </c>
      <c r="AY75" s="362" t="s">
        <v>250</v>
      </c>
      <c r="AZ75" s="363" t="s">
        <v>251</v>
      </c>
      <c r="BA75" s="363" t="s">
        <v>252</v>
      </c>
      <c r="BB75" s="363" t="s">
        <v>250</v>
      </c>
      <c r="BC75" s="363"/>
      <c r="BD75" s="363"/>
    </row>
    <row r="76" spans="1:56" ht="60" x14ac:dyDescent="0.2">
      <c r="A76" s="257" t="s">
        <v>319</v>
      </c>
      <c r="B76" s="299" t="s">
        <v>63</v>
      </c>
      <c r="C76" s="299" t="s">
        <v>25</v>
      </c>
      <c r="D76" s="299" t="s">
        <v>38</v>
      </c>
      <c r="E76" s="299" t="s">
        <v>84</v>
      </c>
      <c r="F76" s="350" t="s">
        <v>39</v>
      </c>
      <c r="G76" s="350" t="s">
        <v>75</v>
      </c>
      <c r="H76" s="299" t="s">
        <v>71</v>
      </c>
      <c r="I76" s="299">
        <v>3</v>
      </c>
      <c r="J76" s="311">
        <v>1712528.2124999999</v>
      </c>
      <c r="K76" s="300">
        <f t="shared" si="47"/>
        <v>8.0274173877296073E-2</v>
      </c>
      <c r="L76" s="311">
        <f>IF(H76="OTRO",(J76*1.05),VLOOKUP((I76&amp;H76),'ESCALAS Salarios'!$D$2:$F$30,3,0))</f>
        <v>1850000</v>
      </c>
      <c r="M76" s="299">
        <v>1</v>
      </c>
      <c r="N76" s="299" t="s">
        <v>485</v>
      </c>
      <c r="O76" s="250">
        <v>45335</v>
      </c>
      <c r="P76" s="316">
        <v>45449</v>
      </c>
      <c r="Q76" s="312">
        <f t="shared" si="55"/>
        <v>7030000</v>
      </c>
      <c r="R76" s="250">
        <v>45517</v>
      </c>
      <c r="S76" s="377">
        <v>45624</v>
      </c>
      <c r="T76" s="312">
        <f t="shared" si="42"/>
        <v>6598333.333333334</v>
      </c>
      <c r="U76" s="318">
        <f t="shared" si="43"/>
        <v>7</v>
      </c>
      <c r="V76" s="352">
        <f t="shared" si="44"/>
        <v>13628333.333333334</v>
      </c>
      <c r="W76" s="313">
        <f t="shared" si="56"/>
        <v>13740184.691625001</v>
      </c>
      <c r="X76" s="353">
        <f t="shared" si="53"/>
        <v>-8.140455226911425E-3</v>
      </c>
      <c r="Y76" s="375">
        <v>79922642</v>
      </c>
      <c r="Z76" s="376" t="s">
        <v>438</v>
      </c>
      <c r="AA76" s="356">
        <f t="shared" si="46"/>
        <v>13628333.333333334</v>
      </c>
      <c r="AB76" s="270" t="s">
        <v>243</v>
      </c>
      <c r="AC76" s="393" t="s">
        <v>15</v>
      </c>
      <c r="AD76" s="358" t="s">
        <v>361</v>
      </c>
      <c r="AE76" s="358" t="s">
        <v>244</v>
      </c>
      <c r="AF76" s="359" t="str">
        <f t="shared" si="37"/>
        <v>CON-072</v>
      </c>
      <c r="AG76" s="270">
        <v>80111600</v>
      </c>
      <c r="AH76" s="249" t="s">
        <v>182</v>
      </c>
      <c r="AI76" s="301">
        <f t="shared" si="38"/>
        <v>45335</v>
      </c>
      <c r="AJ76" s="301">
        <f t="shared" si="48"/>
        <v>45335</v>
      </c>
      <c r="AK76" s="302">
        <f t="shared" si="51"/>
        <v>7</v>
      </c>
      <c r="AL76" s="303" t="s">
        <v>241</v>
      </c>
      <c r="AM76" s="304" t="s">
        <v>242</v>
      </c>
      <c r="AN76" s="305">
        <f t="shared" si="52"/>
        <v>13628333.333333334</v>
      </c>
      <c r="AO76" s="305">
        <f t="shared" si="49"/>
        <v>13628333.333333334</v>
      </c>
      <c r="AP76" s="303" t="s">
        <v>244</v>
      </c>
      <c r="AQ76" s="303" t="s">
        <v>245</v>
      </c>
      <c r="AR76" s="360" t="s">
        <v>246</v>
      </c>
      <c r="AS76" s="306" t="s">
        <v>247</v>
      </c>
      <c r="AT76" s="307" t="str">
        <f t="shared" si="41"/>
        <v>SUBDIRECCIÓN DE BIENESTAR UNIVERSITARIO</v>
      </c>
      <c r="AU76" s="308" t="s">
        <v>248</v>
      </c>
      <c r="AV76" s="361" t="s">
        <v>249</v>
      </c>
      <c r="AW76" s="303" t="s">
        <v>244</v>
      </c>
      <c r="AX76" s="303" t="s">
        <v>244</v>
      </c>
      <c r="AY76" s="362" t="s">
        <v>250</v>
      </c>
      <c r="AZ76" s="363" t="s">
        <v>251</v>
      </c>
      <c r="BA76" s="363" t="s">
        <v>252</v>
      </c>
      <c r="BB76" s="363" t="s">
        <v>250</v>
      </c>
      <c r="BC76" s="363"/>
      <c r="BD76" s="363"/>
    </row>
    <row r="77" spans="1:56" ht="60" x14ac:dyDescent="0.2">
      <c r="A77" s="257" t="s">
        <v>320</v>
      </c>
      <c r="B77" s="299" t="s">
        <v>63</v>
      </c>
      <c r="C77" s="299" t="s">
        <v>25</v>
      </c>
      <c r="D77" s="299" t="s">
        <v>38</v>
      </c>
      <c r="E77" s="299" t="s">
        <v>84</v>
      </c>
      <c r="F77" s="350" t="s">
        <v>39</v>
      </c>
      <c r="G77" s="350" t="s">
        <v>75</v>
      </c>
      <c r="H77" s="299" t="s">
        <v>71</v>
      </c>
      <c r="I77" s="299">
        <v>3</v>
      </c>
      <c r="J77" s="311">
        <v>1712528.2124999999</v>
      </c>
      <c r="K77" s="300">
        <f t="shared" si="47"/>
        <v>8.0274173877296073E-2</v>
      </c>
      <c r="L77" s="311">
        <f>IF(H77="OTRO",(J77*1.05),VLOOKUP((I77&amp;H77),'ESCALAS Salarios'!$D$2:$F$30,3,0))</f>
        <v>1850000</v>
      </c>
      <c r="M77" s="299">
        <v>1</v>
      </c>
      <c r="N77" s="299" t="s">
        <v>485</v>
      </c>
      <c r="O77" s="250">
        <v>45335</v>
      </c>
      <c r="P77" s="316">
        <v>45449</v>
      </c>
      <c r="Q77" s="312">
        <f t="shared" si="55"/>
        <v>7030000</v>
      </c>
      <c r="R77" s="250">
        <v>45517</v>
      </c>
      <c r="S77" s="377">
        <v>45624</v>
      </c>
      <c r="T77" s="312">
        <f t="shared" si="42"/>
        <v>6598333.333333334</v>
      </c>
      <c r="U77" s="318">
        <f t="shared" si="43"/>
        <v>7</v>
      </c>
      <c r="V77" s="352">
        <f t="shared" si="44"/>
        <v>13628333.333333334</v>
      </c>
      <c r="W77" s="313">
        <f t="shared" si="56"/>
        <v>13740184.691625001</v>
      </c>
      <c r="X77" s="353">
        <f t="shared" si="53"/>
        <v>-8.140455226911425E-3</v>
      </c>
      <c r="Y77" s="375">
        <v>79650621</v>
      </c>
      <c r="Z77" s="376" t="s">
        <v>439</v>
      </c>
      <c r="AA77" s="356">
        <f t="shared" si="46"/>
        <v>13628333.333333334</v>
      </c>
      <c r="AB77" s="270" t="s">
        <v>243</v>
      </c>
      <c r="AC77" s="393" t="s">
        <v>15</v>
      </c>
      <c r="AD77" s="358" t="s">
        <v>361</v>
      </c>
      <c r="AE77" s="358" t="s">
        <v>244</v>
      </c>
      <c r="AF77" s="359" t="str">
        <f t="shared" si="37"/>
        <v>CON-073</v>
      </c>
      <c r="AG77" s="270">
        <v>80111600</v>
      </c>
      <c r="AH77" s="249" t="s">
        <v>183</v>
      </c>
      <c r="AI77" s="301">
        <f t="shared" si="38"/>
        <v>45335</v>
      </c>
      <c r="AJ77" s="301">
        <f t="shared" si="48"/>
        <v>45335</v>
      </c>
      <c r="AK77" s="302">
        <f t="shared" si="51"/>
        <v>7</v>
      </c>
      <c r="AL77" s="303" t="s">
        <v>241</v>
      </c>
      <c r="AM77" s="304" t="s">
        <v>242</v>
      </c>
      <c r="AN77" s="305">
        <f t="shared" si="52"/>
        <v>13628333.333333334</v>
      </c>
      <c r="AO77" s="305">
        <f t="shared" si="49"/>
        <v>13628333.333333334</v>
      </c>
      <c r="AP77" s="303" t="s">
        <v>244</v>
      </c>
      <c r="AQ77" s="303" t="s">
        <v>245</v>
      </c>
      <c r="AR77" s="360" t="s">
        <v>246</v>
      </c>
      <c r="AS77" s="306" t="s">
        <v>247</v>
      </c>
      <c r="AT77" s="307" t="str">
        <f t="shared" si="41"/>
        <v>SUBDIRECCIÓN DE BIENESTAR UNIVERSITARIO</v>
      </c>
      <c r="AU77" s="308" t="s">
        <v>248</v>
      </c>
      <c r="AV77" s="361" t="s">
        <v>249</v>
      </c>
      <c r="AW77" s="303" t="s">
        <v>244</v>
      </c>
      <c r="AX77" s="303" t="s">
        <v>244</v>
      </c>
      <c r="AY77" s="362" t="s">
        <v>250</v>
      </c>
      <c r="AZ77" s="363" t="s">
        <v>251</v>
      </c>
      <c r="BA77" s="363" t="s">
        <v>252</v>
      </c>
      <c r="BB77" s="363" t="s">
        <v>250</v>
      </c>
      <c r="BC77" s="363"/>
      <c r="BD77" s="363"/>
    </row>
    <row r="78" spans="1:56" ht="60" x14ac:dyDescent="0.2">
      <c r="A78" s="257" t="s">
        <v>321</v>
      </c>
      <c r="B78" s="299" t="s">
        <v>63</v>
      </c>
      <c r="C78" s="299" t="s">
        <v>25</v>
      </c>
      <c r="D78" s="299" t="s">
        <v>38</v>
      </c>
      <c r="E78" s="299" t="s">
        <v>84</v>
      </c>
      <c r="F78" s="350" t="s">
        <v>39</v>
      </c>
      <c r="G78" s="350" t="s">
        <v>75</v>
      </c>
      <c r="H78" s="299" t="s">
        <v>71</v>
      </c>
      <c r="I78" s="299">
        <v>3</v>
      </c>
      <c r="J78" s="311">
        <v>1712528.2124999999</v>
      </c>
      <c r="K78" s="300">
        <f t="shared" si="47"/>
        <v>8.0274173877296073E-2</v>
      </c>
      <c r="L78" s="311">
        <f>IF(H78="OTRO",(J78*1.05),VLOOKUP((I78&amp;H78),'ESCALAS Salarios'!$D$2:$F$30,3,0))</f>
        <v>1850000</v>
      </c>
      <c r="M78" s="299">
        <v>1</v>
      </c>
      <c r="N78" s="299" t="s">
        <v>485</v>
      </c>
      <c r="O78" s="250">
        <v>45335</v>
      </c>
      <c r="P78" s="316">
        <v>45449</v>
      </c>
      <c r="Q78" s="312">
        <f t="shared" si="55"/>
        <v>7030000</v>
      </c>
      <c r="R78" s="250">
        <v>45517</v>
      </c>
      <c r="S78" s="377">
        <v>45624</v>
      </c>
      <c r="T78" s="312">
        <f t="shared" si="42"/>
        <v>6598333.333333334</v>
      </c>
      <c r="U78" s="318">
        <f t="shared" si="43"/>
        <v>7</v>
      </c>
      <c r="V78" s="352">
        <f t="shared" si="44"/>
        <v>13628333.333333334</v>
      </c>
      <c r="W78" s="313">
        <f t="shared" si="56"/>
        <v>13740184.691625001</v>
      </c>
      <c r="X78" s="353">
        <f t="shared" si="53"/>
        <v>-8.140455226911425E-3</v>
      </c>
      <c r="Y78" s="375">
        <v>79624088</v>
      </c>
      <c r="Z78" s="376" t="s">
        <v>440</v>
      </c>
      <c r="AA78" s="356">
        <f t="shared" si="46"/>
        <v>13628333.333333334</v>
      </c>
      <c r="AB78" s="270" t="s">
        <v>243</v>
      </c>
      <c r="AC78" s="393" t="s">
        <v>15</v>
      </c>
      <c r="AD78" s="358" t="s">
        <v>361</v>
      </c>
      <c r="AE78" s="358" t="s">
        <v>244</v>
      </c>
      <c r="AF78" s="359" t="str">
        <f t="shared" si="37"/>
        <v>CON-074</v>
      </c>
      <c r="AG78" s="270">
        <v>80111600</v>
      </c>
      <c r="AH78" s="249" t="s">
        <v>184</v>
      </c>
      <c r="AI78" s="301">
        <f t="shared" si="38"/>
        <v>45335</v>
      </c>
      <c r="AJ78" s="301">
        <f t="shared" si="48"/>
        <v>45335</v>
      </c>
      <c r="AK78" s="302">
        <f t="shared" si="51"/>
        <v>7</v>
      </c>
      <c r="AL78" s="303" t="s">
        <v>241</v>
      </c>
      <c r="AM78" s="304" t="s">
        <v>242</v>
      </c>
      <c r="AN78" s="305">
        <f t="shared" si="52"/>
        <v>13628333.333333334</v>
      </c>
      <c r="AO78" s="305">
        <f t="shared" si="49"/>
        <v>13628333.333333334</v>
      </c>
      <c r="AP78" s="303" t="s">
        <v>244</v>
      </c>
      <c r="AQ78" s="303" t="s">
        <v>245</v>
      </c>
      <c r="AR78" s="360" t="s">
        <v>246</v>
      </c>
      <c r="AS78" s="306" t="s">
        <v>247</v>
      </c>
      <c r="AT78" s="307" t="str">
        <f t="shared" si="41"/>
        <v>SUBDIRECCIÓN DE BIENESTAR UNIVERSITARIO</v>
      </c>
      <c r="AU78" s="308" t="s">
        <v>248</v>
      </c>
      <c r="AV78" s="361" t="s">
        <v>249</v>
      </c>
      <c r="AW78" s="303" t="s">
        <v>244</v>
      </c>
      <c r="AX78" s="303" t="s">
        <v>244</v>
      </c>
      <c r="AY78" s="362" t="s">
        <v>250</v>
      </c>
      <c r="AZ78" s="363" t="s">
        <v>251</v>
      </c>
      <c r="BA78" s="363" t="s">
        <v>252</v>
      </c>
      <c r="BB78" s="363" t="s">
        <v>250</v>
      </c>
      <c r="BC78" s="363"/>
      <c r="BD78" s="363"/>
    </row>
    <row r="79" spans="1:56" ht="83.25" customHeight="1" x14ac:dyDescent="0.2">
      <c r="A79" s="257" t="s">
        <v>322</v>
      </c>
      <c r="B79" s="299" t="s">
        <v>63</v>
      </c>
      <c r="C79" s="299" t="s">
        <v>25</v>
      </c>
      <c r="D79" s="299" t="s">
        <v>38</v>
      </c>
      <c r="E79" s="299" t="s">
        <v>84</v>
      </c>
      <c r="F79" s="350" t="s">
        <v>39</v>
      </c>
      <c r="G79" s="350" t="s">
        <v>75</v>
      </c>
      <c r="H79" s="299" t="s">
        <v>71</v>
      </c>
      <c r="I79" s="299">
        <v>3</v>
      </c>
      <c r="J79" s="311">
        <v>1712528.2124999999</v>
      </c>
      <c r="K79" s="300">
        <f t="shared" si="47"/>
        <v>8.0274173877296073E-2</v>
      </c>
      <c r="L79" s="311">
        <f>IF(H79="OTRO",(J79*1.05),VLOOKUP((I79&amp;H79),'ESCALAS Salarios'!$D$2:$F$30,3,0))</f>
        <v>1850000</v>
      </c>
      <c r="M79" s="299">
        <v>1</v>
      </c>
      <c r="N79" s="299" t="s">
        <v>485</v>
      </c>
      <c r="O79" s="250">
        <v>45335</v>
      </c>
      <c r="P79" s="316">
        <v>45449</v>
      </c>
      <c r="Q79" s="312">
        <f t="shared" si="55"/>
        <v>7030000</v>
      </c>
      <c r="R79" s="250">
        <v>45517</v>
      </c>
      <c r="S79" s="377">
        <v>45624</v>
      </c>
      <c r="T79" s="312">
        <f t="shared" si="42"/>
        <v>6598333.333333334</v>
      </c>
      <c r="U79" s="318">
        <f t="shared" si="43"/>
        <v>7</v>
      </c>
      <c r="V79" s="352">
        <f t="shared" si="44"/>
        <v>13628333.333333334</v>
      </c>
      <c r="W79" s="313">
        <f t="shared" si="56"/>
        <v>13740184.691625001</v>
      </c>
      <c r="X79" s="353">
        <f t="shared" si="53"/>
        <v>-8.140455226911425E-3</v>
      </c>
      <c r="Y79" s="375">
        <v>1073154394</v>
      </c>
      <c r="Z79" s="376" t="s">
        <v>441</v>
      </c>
      <c r="AA79" s="356">
        <f t="shared" si="46"/>
        <v>13628333.333333334</v>
      </c>
      <c r="AB79" s="270" t="s">
        <v>243</v>
      </c>
      <c r="AC79" s="393" t="s">
        <v>15</v>
      </c>
      <c r="AD79" s="358" t="s">
        <v>361</v>
      </c>
      <c r="AE79" s="358" t="s">
        <v>244</v>
      </c>
      <c r="AF79" s="359" t="str">
        <f t="shared" si="37"/>
        <v>CON-075</v>
      </c>
      <c r="AG79" s="270">
        <v>80111600</v>
      </c>
      <c r="AH79" s="249" t="s">
        <v>185</v>
      </c>
      <c r="AI79" s="301">
        <f t="shared" si="38"/>
        <v>45335</v>
      </c>
      <c r="AJ79" s="301">
        <f t="shared" si="48"/>
        <v>45335</v>
      </c>
      <c r="AK79" s="302">
        <f t="shared" si="51"/>
        <v>7</v>
      </c>
      <c r="AL79" s="303" t="s">
        <v>241</v>
      </c>
      <c r="AM79" s="304" t="s">
        <v>242</v>
      </c>
      <c r="AN79" s="305">
        <f t="shared" si="52"/>
        <v>13628333.333333334</v>
      </c>
      <c r="AO79" s="305">
        <f t="shared" si="49"/>
        <v>13628333.333333334</v>
      </c>
      <c r="AP79" s="303" t="s">
        <v>244</v>
      </c>
      <c r="AQ79" s="303" t="s">
        <v>245</v>
      </c>
      <c r="AR79" s="360" t="s">
        <v>246</v>
      </c>
      <c r="AS79" s="306" t="s">
        <v>247</v>
      </c>
      <c r="AT79" s="307" t="str">
        <f t="shared" si="41"/>
        <v>SUBDIRECCIÓN DE BIENESTAR UNIVERSITARIO</v>
      </c>
      <c r="AU79" s="308" t="s">
        <v>248</v>
      </c>
      <c r="AV79" s="361" t="s">
        <v>249</v>
      </c>
      <c r="AW79" s="303" t="s">
        <v>244</v>
      </c>
      <c r="AX79" s="303" t="s">
        <v>244</v>
      </c>
      <c r="AY79" s="362" t="s">
        <v>250</v>
      </c>
      <c r="AZ79" s="363" t="s">
        <v>251</v>
      </c>
      <c r="BA79" s="363" t="s">
        <v>252</v>
      </c>
      <c r="BB79" s="363" t="s">
        <v>250</v>
      </c>
      <c r="BC79" s="363"/>
      <c r="BD79" s="363"/>
    </row>
    <row r="80" spans="1:56" ht="72" x14ac:dyDescent="0.2">
      <c r="A80" s="257" t="s">
        <v>323</v>
      </c>
      <c r="B80" s="299" t="s">
        <v>63</v>
      </c>
      <c r="C80" s="299" t="s">
        <v>25</v>
      </c>
      <c r="D80" s="299" t="s">
        <v>38</v>
      </c>
      <c r="E80" s="299" t="s">
        <v>84</v>
      </c>
      <c r="F80" s="350" t="s">
        <v>39</v>
      </c>
      <c r="G80" s="350" t="s">
        <v>75</v>
      </c>
      <c r="H80" s="299" t="s">
        <v>69</v>
      </c>
      <c r="I80" s="299">
        <v>3</v>
      </c>
      <c r="J80" s="311">
        <v>3425056.4249999998</v>
      </c>
      <c r="K80" s="300">
        <f t="shared" si="47"/>
        <v>5.1077574583315188E-2</v>
      </c>
      <c r="L80" s="311">
        <f>IF(H80="OTRO",(J80*1.05),VLOOKUP((I80&amp;H80),'ESCALAS Salarios'!$D$2:$F$30,3,0))</f>
        <v>3600000</v>
      </c>
      <c r="M80" s="299">
        <v>1</v>
      </c>
      <c r="N80" s="299" t="s">
        <v>485</v>
      </c>
      <c r="O80" s="250">
        <v>45335</v>
      </c>
      <c r="P80" s="316">
        <v>45449</v>
      </c>
      <c r="Q80" s="312">
        <f t="shared" si="55"/>
        <v>13680000</v>
      </c>
      <c r="R80" s="250">
        <v>45517</v>
      </c>
      <c r="S80" s="377">
        <v>45624</v>
      </c>
      <c r="T80" s="312">
        <f t="shared" si="42"/>
        <v>12840000</v>
      </c>
      <c r="U80" s="318">
        <f t="shared" si="43"/>
        <v>7</v>
      </c>
      <c r="V80" s="352">
        <f t="shared" si="44"/>
        <v>26520000</v>
      </c>
      <c r="W80" s="313">
        <f>13243551.51*2.075</f>
        <v>27480369.383250002</v>
      </c>
      <c r="X80" s="353">
        <f t="shared" si="53"/>
        <v>-3.4947469950508459E-2</v>
      </c>
      <c r="Y80" s="375">
        <v>79449428</v>
      </c>
      <c r="Z80" s="376" t="s">
        <v>442</v>
      </c>
      <c r="AA80" s="356">
        <f t="shared" si="46"/>
        <v>26520000</v>
      </c>
      <c r="AB80" s="270" t="s">
        <v>243</v>
      </c>
      <c r="AC80" s="393" t="s">
        <v>15</v>
      </c>
      <c r="AD80" s="358" t="s">
        <v>361</v>
      </c>
      <c r="AE80" s="358" t="s">
        <v>244</v>
      </c>
      <c r="AF80" s="359" t="str">
        <f t="shared" si="37"/>
        <v>CON-076</v>
      </c>
      <c r="AG80" s="270">
        <v>80111600</v>
      </c>
      <c r="AH80" s="249" t="s">
        <v>186</v>
      </c>
      <c r="AI80" s="301">
        <f t="shared" si="38"/>
        <v>45335</v>
      </c>
      <c r="AJ80" s="301">
        <f t="shared" si="48"/>
        <v>45335</v>
      </c>
      <c r="AK80" s="302">
        <f t="shared" si="51"/>
        <v>7</v>
      </c>
      <c r="AL80" s="303" t="s">
        <v>241</v>
      </c>
      <c r="AM80" s="304" t="s">
        <v>242</v>
      </c>
      <c r="AN80" s="305">
        <f t="shared" si="52"/>
        <v>26520000</v>
      </c>
      <c r="AO80" s="305">
        <f t="shared" si="49"/>
        <v>26520000</v>
      </c>
      <c r="AP80" s="303" t="s">
        <v>244</v>
      </c>
      <c r="AQ80" s="303" t="s">
        <v>245</v>
      </c>
      <c r="AR80" s="360" t="s">
        <v>246</v>
      </c>
      <c r="AS80" s="306" t="s">
        <v>247</v>
      </c>
      <c r="AT80" s="307" t="str">
        <f t="shared" si="41"/>
        <v>SUBDIRECCIÓN DE BIENESTAR UNIVERSITARIO</v>
      </c>
      <c r="AU80" s="308" t="s">
        <v>248</v>
      </c>
      <c r="AV80" s="361" t="s">
        <v>249</v>
      </c>
      <c r="AW80" s="303" t="s">
        <v>244</v>
      </c>
      <c r="AX80" s="303" t="s">
        <v>244</v>
      </c>
      <c r="AY80" s="362" t="s">
        <v>250</v>
      </c>
      <c r="AZ80" s="363" t="s">
        <v>251</v>
      </c>
      <c r="BA80" s="363" t="s">
        <v>252</v>
      </c>
      <c r="BB80" s="363" t="s">
        <v>250</v>
      </c>
      <c r="BC80" s="363"/>
      <c r="BD80" s="363"/>
    </row>
    <row r="81" spans="1:56" ht="48" x14ac:dyDescent="0.2">
      <c r="A81" s="257" t="s">
        <v>632</v>
      </c>
      <c r="B81" s="299" t="s">
        <v>63</v>
      </c>
      <c r="C81" s="299" t="s">
        <v>25</v>
      </c>
      <c r="D81" s="299" t="s">
        <v>38</v>
      </c>
      <c r="E81" s="299" t="s">
        <v>85</v>
      </c>
      <c r="F81" s="350" t="s">
        <v>40</v>
      </c>
      <c r="G81" s="350" t="s">
        <v>75</v>
      </c>
      <c r="H81" s="299" t="s">
        <v>71</v>
      </c>
      <c r="I81" s="299">
        <v>3</v>
      </c>
      <c r="J81" s="311">
        <v>1712528.2124999999</v>
      </c>
      <c r="K81" s="300">
        <f t="shared" si="47"/>
        <v>8.0274173877296073E-2</v>
      </c>
      <c r="L81" s="311">
        <f>IF(H81="OTRO",(J81*1.05),VLOOKUP((I81&amp;H81),'ESCALAS Salarios'!$D$2:$F$30,3,0))</f>
        <v>1850000</v>
      </c>
      <c r="M81" s="299">
        <v>1</v>
      </c>
      <c r="N81" s="299" t="s">
        <v>485</v>
      </c>
      <c r="O81" s="250">
        <v>45335</v>
      </c>
      <c r="P81" s="316">
        <v>45449</v>
      </c>
      <c r="Q81" s="312">
        <f t="shared" si="50"/>
        <v>7030000</v>
      </c>
      <c r="R81" s="250">
        <v>45517</v>
      </c>
      <c r="S81" s="377">
        <v>45624</v>
      </c>
      <c r="T81" s="312">
        <f t="shared" si="42"/>
        <v>6598333.333333334</v>
      </c>
      <c r="U81" s="318">
        <f t="shared" si="43"/>
        <v>7</v>
      </c>
      <c r="V81" s="352">
        <f t="shared" si="44"/>
        <v>13628333.333333334</v>
      </c>
      <c r="W81" s="313">
        <f t="shared" si="56"/>
        <v>13740184.691625001</v>
      </c>
      <c r="X81" s="353">
        <f t="shared" si="53"/>
        <v>-8.140455226911425E-3</v>
      </c>
      <c r="Y81" s="375">
        <v>1022324245</v>
      </c>
      <c r="Z81" s="376" t="s">
        <v>443</v>
      </c>
      <c r="AA81" s="356">
        <f t="shared" si="46"/>
        <v>13628333.333333334</v>
      </c>
      <c r="AB81" s="270" t="s">
        <v>243</v>
      </c>
      <c r="AC81" s="393" t="s">
        <v>15</v>
      </c>
      <c r="AD81" s="358" t="s">
        <v>361</v>
      </c>
      <c r="AE81" s="358" t="s">
        <v>244</v>
      </c>
      <c r="AF81" s="359" t="str">
        <f t="shared" si="37"/>
        <v>CON-077</v>
      </c>
      <c r="AG81" s="270">
        <v>80111600</v>
      </c>
      <c r="AH81" s="249" t="s">
        <v>187</v>
      </c>
      <c r="AI81" s="301">
        <f t="shared" si="38"/>
        <v>45335</v>
      </c>
      <c r="AJ81" s="301">
        <f t="shared" si="48"/>
        <v>45335</v>
      </c>
      <c r="AK81" s="302">
        <f t="shared" si="51"/>
        <v>7</v>
      </c>
      <c r="AL81" s="303" t="s">
        <v>241</v>
      </c>
      <c r="AM81" s="304" t="s">
        <v>242</v>
      </c>
      <c r="AN81" s="305">
        <f t="shared" si="52"/>
        <v>13628333.333333334</v>
      </c>
      <c r="AO81" s="305">
        <f t="shared" si="49"/>
        <v>13628333.333333334</v>
      </c>
      <c r="AP81" s="303" t="s">
        <v>244</v>
      </c>
      <c r="AQ81" s="303" t="s">
        <v>245</v>
      </c>
      <c r="AR81" s="360" t="s">
        <v>246</v>
      </c>
      <c r="AS81" s="306" t="s">
        <v>247</v>
      </c>
      <c r="AT81" s="307" t="str">
        <f t="shared" si="41"/>
        <v>SUBDIRECCIÓN DE BIENESTAR UNIVERSITARIO</v>
      </c>
      <c r="AU81" s="308" t="s">
        <v>248</v>
      </c>
      <c r="AV81" s="361" t="s">
        <v>249</v>
      </c>
      <c r="AW81" s="303" t="s">
        <v>244</v>
      </c>
      <c r="AX81" s="303" t="s">
        <v>244</v>
      </c>
      <c r="AY81" s="362" t="s">
        <v>250</v>
      </c>
      <c r="AZ81" s="363" t="s">
        <v>251</v>
      </c>
      <c r="BA81" s="363" t="s">
        <v>252</v>
      </c>
      <c r="BB81" s="363" t="s">
        <v>250</v>
      </c>
      <c r="BC81" s="363"/>
      <c r="BD81" s="363"/>
    </row>
    <row r="82" spans="1:56" ht="36" x14ac:dyDescent="0.2">
      <c r="A82" s="257" t="s">
        <v>324</v>
      </c>
      <c r="B82" s="299" t="s">
        <v>63</v>
      </c>
      <c r="C82" s="299" t="s">
        <v>25</v>
      </c>
      <c r="D82" s="299" t="s">
        <v>38</v>
      </c>
      <c r="E82" s="299" t="s">
        <v>86</v>
      </c>
      <c r="F82" s="350" t="s">
        <v>40</v>
      </c>
      <c r="G82" s="350" t="s">
        <v>75</v>
      </c>
      <c r="H82" s="299" t="s">
        <v>71</v>
      </c>
      <c r="I82" s="299">
        <v>3</v>
      </c>
      <c r="J82" s="311">
        <v>1712528.2124999999</v>
      </c>
      <c r="K82" s="300">
        <f t="shared" si="47"/>
        <v>8.0274173877296073E-2</v>
      </c>
      <c r="L82" s="311">
        <f>IF(H82="OTRO",(J82*1.05),VLOOKUP((I82&amp;H82),'ESCALAS Salarios'!$D$2:$F$30,3,0))</f>
        <v>1850000</v>
      </c>
      <c r="M82" s="299">
        <v>1</v>
      </c>
      <c r="N82" s="299" t="s">
        <v>485</v>
      </c>
      <c r="O82" s="250">
        <v>45335</v>
      </c>
      <c r="P82" s="316">
        <v>45449</v>
      </c>
      <c r="Q82" s="312">
        <f t="shared" si="50"/>
        <v>7030000</v>
      </c>
      <c r="R82" s="250">
        <v>45517</v>
      </c>
      <c r="S82" s="377">
        <v>45624</v>
      </c>
      <c r="T82" s="312">
        <f t="shared" si="42"/>
        <v>6598333.333333334</v>
      </c>
      <c r="U82" s="318">
        <f t="shared" si="43"/>
        <v>7</v>
      </c>
      <c r="V82" s="352">
        <f t="shared" si="44"/>
        <v>13628333.333333334</v>
      </c>
      <c r="W82" s="313">
        <f t="shared" si="56"/>
        <v>13740184.691625001</v>
      </c>
      <c r="X82" s="353">
        <f t="shared" si="53"/>
        <v>-8.140455226911425E-3</v>
      </c>
      <c r="Y82" s="313"/>
      <c r="Z82" s="355" t="s">
        <v>41</v>
      </c>
      <c r="AA82" s="356">
        <f t="shared" si="46"/>
        <v>13628333.333333334</v>
      </c>
      <c r="AB82" s="270" t="s">
        <v>243</v>
      </c>
      <c r="AC82" s="393" t="s">
        <v>15</v>
      </c>
      <c r="AD82" s="358" t="s">
        <v>361</v>
      </c>
      <c r="AE82" s="358" t="s">
        <v>244</v>
      </c>
      <c r="AF82" s="359" t="str">
        <f t="shared" ref="AF82:AF114" si="57">"CON-"&amp;A82</f>
        <v>CON-078</v>
      </c>
      <c r="AG82" s="270">
        <v>80111600</v>
      </c>
      <c r="AH82" s="249" t="s">
        <v>188</v>
      </c>
      <c r="AI82" s="301">
        <f t="shared" ref="AI82:AI114" si="58">+O82</f>
        <v>45335</v>
      </c>
      <c r="AJ82" s="301">
        <f t="shared" si="48"/>
        <v>45335</v>
      </c>
      <c r="AK82" s="302">
        <f t="shared" si="51"/>
        <v>7</v>
      </c>
      <c r="AL82" s="303" t="s">
        <v>241</v>
      </c>
      <c r="AM82" s="304" t="s">
        <v>242</v>
      </c>
      <c r="AN82" s="305">
        <f t="shared" si="52"/>
        <v>13628333.333333334</v>
      </c>
      <c r="AO82" s="305">
        <f t="shared" si="49"/>
        <v>13628333.333333334</v>
      </c>
      <c r="AP82" s="303" t="s">
        <v>244</v>
      </c>
      <c r="AQ82" s="303" t="s">
        <v>245</v>
      </c>
      <c r="AR82" s="360" t="s">
        <v>246</v>
      </c>
      <c r="AS82" s="306" t="s">
        <v>247</v>
      </c>
      <c r="AT82" s="307" t="str">
        <f t="shared" ref="AT82:AT104" si="59">D82</f>
        <v>SUBDIRECCIÓN DE BIENESTAR UNIVERSITARIO</v>
      </c>
      <c r="AU82" s="308" t="s">
        <v>248</v>
      </c>
      <c r="AV82" s="361" t="s">
        <v>249</v>
      </c>
      <c r="AW82" s="303" t="s">
        <v>244</v>
      </c>
      <c r="AX82" s="303" t="s">
        <v>244</v>
      </c>
      <c r="AY82" s="362" t="s">
        <v>250</v>
      </c>
      <c r="AZ82" s="363" t="s">
        <v>251</v>
      </c>
      <c r="BA82" s="363" t="s">
        <v>252</v>
      </c>
      <c r="BB82" s="363" t="s">
        <v>250</v>
      </c>
      <c r="BC82" s="363"/>
      <c r="BD82" s="363"/>
    </row>
    <row r="83" spans="1:56" ht="48" x14ac:dyDescent="0.2">
      <c r="A83" s="257" t="s">
        <v>325</v>
      </c>
      <c r="B83" s="299" t="s">
        <v>63</v>
      </c>
      <c r="C83" s="299" t="s">
        <v>25</v>
      </c>
      <c r="D83" s="299" t="s">
        <v>38</v>
      </c>
      <c r="E83" s="299" t="s">
        <v>86</v>
      </c>
      <c r="F83" s="350" t="s">
        <v>40</v>
      </c>
      <c r="G83" s="350" t="s">
        <v>75</v>
      </c>
      <c r="H83" s="299" t="s">
        <v>71</v>
      </c>
      <c r="I83" s="299">
        <v>3</v>
      </c>
      <c r="J83" s="311">
        <v>1712528.2124999999</v>
      </c>
      <c r="K83" s="300">
        <f t="shared" si="47"/>
        <v>8.0274173877296073E-2</v>
      </c>
      <c r="L83" s="311">
        <f>IF(H83="OTRO",(J83*1.05),VLOOKUP((I83&amp;H83),'ESCALAS Salarios'!$D$2:$F$30,3,0))</f>
        <v>1850000</v>
      </c>
      <c r="M83" s="299">
        <v>1</v>
      </c>
      <c r="N83" s="299" t="s">
        <v>485</v>
      </c>
      <c r="O83" s="250">
        <v>45335</v>
      </c>
      <c r="P83" s="316">
        <v>45449</v>
      </c>
      <c r="Q83" s="312">
        <f t="shared" ref="Q83:Q87" si="60">IF($N83="MENSUAL",ROUND((((P83-O83))/30),0)*$L83*$M83,((P83-O83)/30)*$L83*$M83)</f>
        <v>7030000</v>
      </c>
      <c r="R83" s="250">
        <v>45517</v>
      </c>
      <c r="S83" s="377">
        <v>45624</v>
      </c>
      <c r="T83" s="312">
        <f t="shared" si="42"/>
        <v>6598333.333333334</v>
      </c>
      <c r="U83" s="318">
        <f t="shared" si="43"/>
        <v>7</v>
      </c>
      <c r="V83" s="352">
        <f t="shared" si="44"/>
        <v>13628333.333333334</v>
      </c>
      <c r="W83" s="313">
        <f t="shared" si="56"/>
        <v>13740184.691625001</v>
      </c>
      <c r="X83" s="353">
        <f t="shared" si="53"/>
        <v>-8.140455226911425E-3</v>
      </c>
      <c r="Y83" s="375">
        <v>51596583</v>
      </c>
      <c r="Z83" s="376" t="s">
        <v>444</v>
      </c>
      <c r="AA83" s="356">
        <f t="shared" si="46"/>
        <v>13628333.333333334</v>
      </c>
      <c r="AB83" s="270" t="s">
        <v>243</v>
      </c>
      <c r="AC83" s="393" t="s">
        <v>15</v>
      </c>
      <c r="AD83" s="358" t="s">
        <v>361</v>
      </c>
      <c r="AE83" s="358" t="s">
        <v>244</v>
      </c>
      <c r="AF83" s="359" t="str">
        <f t="shared" si="57"/>
        <v>CON-079</v>
      </c>
      <c r="AG83" s="270">
        <v>80111600</v>
      </c>
      <c r="AH83" s="249" t="s">
        <v>189</v>
      </c>
      <c r="AI83" s="301">
        <f t="shared" si="58"/>
        <v>45335</v>
      </c>
      <c r="AJ83" s="301">
        <f t="shared" si="48"/>
        <v>45335</v>
      </c>
      <c r="AK83" s="302">
        <f t="shared" si="51"/>
        <v>7</v>
      </c>
      <c r="AL83" s="303" t="s">
        <v>241</v>
      </c>
      <c r="AM83" s="304" t="s">
        <v>242</v>
      </c>
      <c r="AN83" s="305">
        <f t="shared" si="52"/>
        <v>13628333.333333334</v>
      </c>
      <c r="AO83" s="305">
        <f t="shared" si="49"/>
        <v>13628333.333333334</v>
      </c>
      <c r="AP83" s="303" t="s">
        <v>244</v>
      </c>
      <c r="AQ83" s="303" t="s">
        <v>245</v>
      </c>
      <c r="AR83" s="360" t="s">
        <v>246</v>
      </c>
      <c r="AS83" s="306" t="s">
        <v>247</v>
      </c>
      <c r="AT83" s="307" t="str">
        <f t="shared" si="59"/>
        <v>SUBDIRECCIÓN DE BIENESTAR UNIVERSITARIO</v>
      </c>
      <c r="AU83" s="308" t="s">
        <v>248</v>
      </c>
      <c r="AV83" s="361" t="s">
        <v>249</v>
      </c>
      <c r="AW83" s="303" t="s">
        <v>244</v>
      </c>
      <c r="AX83" s="303" t="s">
        <v>244</v>
      </c>
      <c r="AY83" s="362" t="s">
        <v>250</v>
      </c>
      <c r="AZ83" s="363" t="s">
        <v>251</v>
      </c>
      <c r="BA83" s="363" t="s">
        <v>252</v>
      </c>
      <c r="BB83" s="363" t="s">
        <v>250</v>
      </c>
      <c r="BC83" s="363"/>
      <c r="BD83" s="363"/>
    </row>
    <row r="84" spans="1:56" ht="36" x14ac:dyDescent="0.2">
      <c r="A84" s="257" t="s">
        <v>326</v>
      </c>
      <c r="B84" s="299" t="s">
        <v>63</v>
      </c>
      <c r="C84" s="299" t="s">
        <v>25</v>
      </c>
      <c r="D84" s="299" t="s">
        <v>38</v>
      </c>
      <c r="E84" s="299" t="s">
        <v>86</v>
      </c>
      <c r="F84" s="350" t="s">
        <v>40</v>
      </c>
      <c r="G84" s="350" t="s">
        <v>75</v>
      </c>
      <c r="H84" s="299" t="s">
        <v>71</v>
      </c>
      <c r="I84" s="299">
        <v>3</v>
      </c>
      <c r="J84" s="311">
        <v>1712528.2124999999</v>
      </c>
      <c r="K84" s="300">
        <f t="shared" si="47"/>
        <v>8.0274173877296073E-2</v>
      </c>
      <c r="L84" s="311">
        <f>IF(H84="OTRO",(J84*1.05),VLOOKUP((I84&amp;H84),'ESCALAS Salarios'!$D$2:$F$30,3,0))</f>
        <v>1850000</v>
      </c>
      <c r="M84" s="299">
        <v>1</v>
      </c>
      <c r="N84" s="299" t="s">
        <v>485</v>
      </c>
      <c r="O84" s="250">
        <v>45335</v>
      </c>
      <c r="P84" s="316">
        <v>45449</v>
      </c>
      <c r="Q84" s="312">
        <f t="shared" si="60"/>
        <v>7030000</v>
      </c>
      <c r="R84" s="250">
        <v>45517</v>
      </c>
      <c r="S84" s="377">
        <v>45624</v>
      </c>
      <c r="T84" s="312">
        <f t="shared" si="42"/>
        <v>6598333.333333334</v>
      </c>
      <c r="U84" s="318">
        <f t="shared" si="43"/>
        <v>7</v>
      </c>
      <c r="V84" s="352">
        <f t="shared" si="44"/>
        <v>13628333.333333334</v>
      </c>
      <c r="W84" s="313">
        <f t="shared" si="56"/>
        <v>13740184.691625001</v>
      </c>
      <c r="X84" s="353">
        <f t="shared" si="53"/>
        <v>-8.140455226911425E-3</v>
      </c>
      <c r="Y84" s="375">
        <v>1014222525</v>
      </c>
      <c r="Z84" s="376" t="s">
        <v>445</v>
      </c>
      <c r="AA84" s="356">
        <f t="shared" si="46"/>
        <v>13628333.333333334</v>
      </c>
      <c r="AB84" s="270" t="s">
        <v>243</v>
      </c>
      <c r="AC84" s="393" t="s">
        <v>15</v>
      </c>
      <c r="AD84" s="358" t="s">
        <v>361</v>
      </c>
      <c r="AE84" s="358" t="s">
        <v>244</v>
      </c>
      <c r="AF84" s="359" t="str">
        <f t="shared" si="57"/>
        <v>CON-080</v>
      </c>
      <c r="AG84" s="270">
        <v>80111600</v>
      </c>
      <c r="AH84" s="249" t="s">
        <v>190</v>
      </c>
      <c r="AI84" s="301">
        <f t="shared" si="58"/>
        <v>45335</v>
      </c>
      <c r="AJ84" s="301">
        <f t="shared" si="48"/>
        <v>45335</v>
      </c>
      <c r="AK84" s="302">
        <f t="shared" si="51"/>
        <v>7</v>
      </c>
      <c r="AL84" s="303" t="s">
        <v>241</v>
      </c>
      <c r="AM84" s="304" t="s">
        <v>242</v>
      </c>
      <c r="AN84" s="305">
        <f t="shared" si="52"/>
        <v>13628333.333333334</v>
      </c>
      <c r="AO84" s="305">
        <f t="shared" si="49"/>
        <v>13628333.333333334</v>
      </c>
      <c r="AP84" s="303" t="s">
        <v>244</v>
      </c>
      <c r="AQ84" s="303" t="s">
        <v>245</v>
      </c>
      <c r="AR84" s="360" t="s">
        <v>246</v>
      </c>
      <c r="AS84" s="306" t="s">
        <v>247</v>
      </c>
      <c r="AT84" s="307" t="str">
        <f t="shared" si="59"/>
        <v>SUBDIRECCIÓN DE BIENESTAR UNIVERSITARIO</v>
      </c>
      <c r="AU84" s="308" t="s">
        <v>248</v>
      </c>
      <c r="AV84" s="361" t="s">
        <v>249</v>
      </c>
      <c r="AW84" s="303" t="s">
        <v>244</v>
      </c>
      <c r="AX84" s="303" t="s">
        <v>244</v>
      </c>
      <c r="AY84" s="362" t="s">
        <v>250</v>
      </c>
      <c r="AZ84" s="363" t="s">
        <v>251</v>
      </c>
      <c r="BA84" s="363" t="s">
        <v>252</v>
      </c>
      <c r="BB84" s="363" t="s">
        <v>250</v>
      </c>
      <c r="BC84" s="363"/>
      <c r="BD84" s="363"/>
    </row>
    <row r="85" spans="1:56" ht="48" x14ac:dyDescent="0.2">
      <c r="A85" s="257" t="s">
        <v>327</v>
      </c>
      <c r="B85" s="299" t="s">
        <v>63</v>
      </c>
      <c r="C85" s="299" t="s">
        <v>25</v>
      </c>
      <c r="D85" s="299" t="s">
        <v>38</v>
      </c>
      <c r="E85" s="299" t="s">
        <v>86</v>
      </c>
      <c r="F85" s="350" t="s">
        <v>40</v>
      </c>
      <c r="G85" s="350" t="s">
        <v>75</v>
      </c>
      <c r="H85" s="299" t="s">
        <v>71</v>
      </c>
      <c r="I85" s="299">
        <v>3</v>
      </c>
      <c r="J85" s="311">
        <v>1712528.2124999999</v>
      </c>
      <c r="K85" s="300">
        <f t="shared" si="47"/>
        <v>8.0274173877296073E-2</v>
      </c>
      <c r="L85" s="311">
        <f>IF(H85="OTRO",(J85*1.05),VLOOKUP((I85&amp;H85),'ESCALAS Salarios'!$D$2:$F$30,3,0))</f>
        <v>1850000</v>
      </c>
      <c r="M85" s="299">
        <v>1</v>
      </c>
      <c r="N85" s="299" t="s">
        <v>485</v>
      </c>
      <c r="O85" s="250">
        <v>45335</v>
      </c>
      <c r="P85" s="316">
        <v>45449</v>
      </c>
      <c r="Q85" s="312">
        <f t="shared" si="60"/>
        <v>7030000</v>
      </c>
      <c r="R85" s="250">
        <v>45517</v>
      </c>
      <c r="S85" s="377">
        <v>45624</v>
      </c>
      <c r="T85" s="312">
        <f t="shared" si="42"/>
        <v>6598333.333333334</v>
      </c>
      <c r="U85" s="318">
        <f t="shared" si="43"/>
        <v>7</v>
      </c>
      <c r="V85" s="352">
        <f t="shared" si="44"/>
        <v>13628333.333333334</v>
      </c>
      <c r="W85" s="313">
        <f t="shared" si="56"/>
        <v>13740184.691625001</v>
      </c>
      <c r="X85" s="353">
        <f t="shared" si="53"/>
        <v>-8.140455226911425E-3</v>
      </c>
      <c r="Y85" s="375">
        <v>1015442192</v>
      </c>
      <c r="Z85" s="376" t="s">
        <v>446</v>
      </c>
      <c r="AA85" s="356">
        <f t="shared" si="46"/>
        <v>13628333.333333334</v>
      </c>
      <c r="AB85" s="270" t="s">
        <v>243</v>
      </c>
      <c r="AC85" s="393" t="s">
        <v>15</v>
      </c>
      <c r="AD85" s="358" t="s">
        <v>361</v>
      </c>
      <c r="AE85" s="358" t="s">
        <v>244</v>
      </c>
      <c r="AF85" s="359" t="str">
        <f t="shared" si="57"/>
        <v>CON-081</v>
      </c>
      <c r="AG85" s="270">
        <v>80111600</v>
      </c>
      <c r="AH85" s="249" t="s">
        <v>689</v>
      </c>
      <c r="AI85" s="301">
        <f t="shared" si="58"/>
        <v>45335</v>
      </c>
      <c r="AJ85" s="301">
        <f t="shared" si="48"/>
        <v>45335</v>
      </c>
      <c r="AK85" s="302">
        <f t="shared" si="51"/>
        <v>7</v>
      </c>
      <c r="AL85" s="303" t="s">
        <v>241</v>
      </c>
      <c r="AM85" s="304" t="s">
        <v>242</v>
      </c>
      <c r="AN85" s="305">
        <f t="shared" si="52"/>
        <v>13628333.333333334</v>
      </c>
      <c r="AO85" s="305">
        <f t="shared" si="49"/>
        <v>13628333.333333334</v>
      </c>
      <c r="AP85" s="303" t="s">
        <v>244</v>
      </c>
      <c r="AQ85" s="303" t="s">
        <v>245</v>
      </c>
      <c r="AR85" s="360" t="s">
        <v>246</v>
      </c>
      <c r="AS85" s="306" t="s">
        <v>247</v>
      </c>
      <c r="AT85" s="307" t="str">
        <f t="shared" si="59"/>
        <v>SUBDIRECCIÓN DE BIENESTAR UNIVERSITARIO</v>
      </c>
      <c r="AU85" s="308" t="s">
        <v>248</v>
      </c>
      <c r="AV85" s="361" t="s">
        <v>249</v>
      </c>
      <c r="AW85" s="303" t="s">
        <v>244</v>
      </c>
      <c r="AX85" s="303" t="s">
        <v>244</v>
      </c>
      <c r="AY85" s="362" t="s">
        <v>250</v>
      </c>
      <c r="AZ85" s="363" t="s">
        <v>251</v>
      </c>
      <c r="BA85" s="363" t="s">
        <v>252</v>
      </c>
      <c r="BB85" s="363" t="s">
        <v>250</v>
      </c>
      <c r="BC85" s="363"/>
      <c r="BD85" s="363"/>
    </row>
    <row r="86" spans="1:56" ht="48" x14ac:dyDescent="0.2">
      <c r="A86" s="257" t="s">
        <v>328</v>
      </c>
      <c r="B86" s="299" t="s">
        <v>63</v>
      </c>
      <c r="C86" s="299" t="s">
        <v>25</v>
      </c>
      <c r="D86" s="299" t="s">
        <v>38</v>
      </c>
      <c r="E86" s="299" t="s">
        <v>86</v>
      </c>
      <c r="F86" s="350" t="s">
        <v>40</v>
      </c>
      <c r="G86" s="350" t="s">
        <v>75</v>
      </c>
      <c r="H86" s="299" t="s">
        <v>71</v>
      </c>
      <c r="I86" s="299">
        <v>3</v>
      </c>
      <c r="J86" s="311">
        <v>1712528.2124999999</v>
      </c>
      <c r="K86" s="300">
        <f t="shared" si="47"/>
        <v>8.0274173877296073E-2</v>
      </c>
      <c r="L86" s="311">
        <f>IF(H86="OTRO",(J86*1.05),VLOOKUP((I86&amp;H86),'ESCALAS Salarios'!$D$2:$F$30,3,0))</f>
        <v>1850000</v>
      </c>
      <c r="M86" s="299">
        <v>1</v>
      </c>
      <c r="N86" s="299" t="s">
        <v>485</v>
      </c>
      <c r="O86" s="250">
        <v>45335</v>
      </c>
      <c r="P86" s="316">
        <v>45449</v>
      </c>
      <c r="Q86" s="312">
        <f t="shared" si="60"/>
        <v>7030000</v>
      </c>
      <c r="R86" s="250">
        <v>45517</v>
      </c>
      <c r="S86" s="377">
        <v>45624</v>
      </c>
      <c r="T86" s="312">
        <f t="shared" si="42"/>
        <v>6598333.333333334</v>
      </c>
      <c r="U86" s="318">
        <f t="shared" si="43"/>
        <v>7</v>
      </c>
      <c r="V86" s="352">
        <f t="shared" si="44"/>
        <v>13628333.333333334</v>
      </c>
      <c r="W86" s="313">
        <f t="shared" si="56"/>
        <v>13740184.691625001</v>
      </c>
      <c r="X86" s="353">
        <f t="shared" si="53"/>
        <v>-8.140455226911425E-3</v>
      </c>
      <c r="Y86" s="375">
        <v>52089714</v>
      </c>
      <c r="Z86" s="376" t="s">
        <v>447</v>
      </c>
      <c r="AA86" s="356">
        <f t="shared" si="46"/>
        <v>13628333.333333334</v>
      </c>
      <c r="AB86" s="270" t="s">
        <v>243</v>
      </c>
      <c r="AC86" s="393" t="s">
        <v>15</v>
      </c>
      <c r="AD86" s="358" t="s">
        <v>361</v>
      </c>
      <c r="AE86" s="358" t="s">
        <v>244</v>
      </c>
      <c r="AF86" s="359" t="str">
        <f t="shared" si="57"/>
        <v>CON-082</v>
      </c>
      <c r="AG86" s="270">
        <v>80111600</v>
      </c>
      <c r="AH86" s="249" t="s">
        <v>192</v>
      </c>
      <c r="AI86" s="301">
        <f t="shared" si="58"/>
        <v>45335</v>
      </c>
      <c r="AJ86" s="301">
        <f t="shared" si="48"/>
        <v>45335</v>
      </c>
      <c r="AK86" s="302">
        <f t="shared" si="51"/>
        <v>7</v>
      </c>
      <c r="AL86" s="303" t="s">
        <v>241</v>
      </c>
      <c r="AM86" s="304" t="s">
        <v>242</v>
      </c>
      <c r="AN86" s="305">
        <f t="shared" si="52"/>
        <v>13628333.333333334</v>
      </c>
      <c r="AO86" s="305">
        <f t="shared" si="49"/>
        <v>13628333.333333334</v>
      </c>
      <c r="AP86" s="303" t="s">
        <v>244</v>
      </c>
      <c r="AQ86" s="303" t="s">
        <v>245</v>
      </c>
      <c r="AR86" s="360" t="s">
        <v>246</v>
      </c>
      <c r="AS86" s="306" t="s">
        <v>247</v>
      </c>
      <c r="AT86" s="307" t="str">
        <f t="shared" si="59"/>
        <v>SUBDIRECCIÓN DE BIENESTAR UNIVERSITARIO</v>
      </c>
      <c r="AU86" s="308" t="s">
        <v>248</v>
      </c>
      <c r="AV86" s="361" t="s">
        <v>249</v>
      </c>
      <c r="AW86" s="303" t="s">
        <v>244</v>
      </c>
      <c r="AX86" s="303" t="s">
        <v>244</v>
      </c>
      <c r="AY86" s="362" t="s">
        <v>250</v>
      </c>
      <c r="AZ86" s="363" t="s">
        <v>251</v>
      </c>
      <c r="BA86" s="363" t="s">
        <v>252</v>
      </c>
      <c r="BB86" s="363" t="s">
        <v>250</v>
      </c>
      <c r="BC86" s="363"/>
      <c r="BD86" s="363"/>
    </row>
    <row r="87" spans="1:56" ht="48" x14ac:dyDescent="0.2">
      <c r="A87" s="257" t="s">
        <v>329</v>
      </c>
      <c r="B87" s="299" t="s">
        <v>63</v>
      </c>
      <c r="C87" s="299" t="s">
        <v>25</v>
      </c>
      <c r="D87" s="299" t="s">
        <v>38</v>
      </c>
      <c r="E87" s="299" t="s">
        <v>86</v>
      </c>
      <c r="F87" s="350" t="s">
        <v>40</v>
      </c>
      <c r="G87" s="350" t="s">
        <v>75</v>
      </c>
      <c r="H87" s="299" t="s">
        <v>71</v>
      </c>
      <c r="I87" s="299">
        <v>3</v>
      </c>
      <c r="J87" s="311">
        <v>1712528.2124999999</v>
      </c>
      <c r="K87" s="300">
        <f t="shared" si="47"/>
        <v>8.0274173877296073E-2</v>
      </c>
      <c r="L87" s="311">
        <f>IF(H87="OTRO",(J87*1.05),VLOOKUP((I87&amp;H87),'ESCALAS Salarios'!$D$2:$F$30,3,0))</f>
        <v>1850000</v>
      </c>
      <c r="M87" s="299">
        <v>1</v>
      </c>
      <c r="N87" s="299" t="s">
        <v>485</v>
      </c>
      <c r="O87" s="250">
        <v>45335</v>
      </c>
      <c r="P87" s="316">
        <v>45449</v>
      </c>
      <c r="Q87" s="312">
        <f t="shared" si="60"/>
        <v>7030000</v>
      </c>
      <c r="R87" s="250">
        <v>45517</v>
      </c>
      <c r="S87" s="377">
        <v>45624</v>
      </c>
      <c r="T87" s="312">
        <f t="shared" si="42"/>
        <v>6598333.333333334</v>
      </c>
      <c r="U87" s="318">
        <f t="shared" si="43"/>
        <v>7</v>
      </c>
      <c r="V87" s="352">
        <f t="shared" si="44"/>
        <v>13628333.333333334</v>
      </c>
      <c r="W87" s="313">
        <f t="shared" si="56"/>
        <v>13740184.691625001</v>
      </c>
      <c r="X87" s="353">
        <f t="shared" si="53"/>
        <v>-8.140455226911425E-3</v>
      </c>
      <c r="Y87" s="313"/>
      <c r="Z87" s="355" t="s">
        <v>2</v>
      </c>
      <c r="AA87" s="356">
        <f t="shared" si="46"/>
        <v>13628333.333333334</v>
      </c>
      <c r="AB87" s="270" t="s">
        <v>243</v>
      </c>
      <c r="AC87" s="393" t="s">
        <v>15</v>
      </c>
      <c r="AD87" s="358" t="s">
        <v>361</v>
      </c>
      <c r="AE87" s="358" t="s">
        <v>244</v>
      </c>
      <c r="AF87" s="359" t="str">
        <f t="shared" si="57"/>
        <v>CON-083</v>
      </c>
      <c r="AG87" s="270">
        <v>80111600</v>
      </c>
      <c r="AH87" s="249" t="s">
        <v>710</v>
      </c>
      <c r="AI87" s="301">
        <f t="shared" si="58"/>
        <v>45335</v>
      </c>
      <c r="AJ87" s="301">
        <f t="shared" si="48"/>
        <v>45335</v>
      </c>
      <c r="AK87" s="302">
        <f t="shared" si="51"/>
        <v>7</v>
      </c>
      <c r="AL87" s="303" t="s">
        <v>241</v>
      </c>
      <c r="AM87" s="304" t="s">
        <v>242</v>
      </c>
      <c r="AN87" s="305">
        <f t="shared" si="52"/>
        <v>13628333.333333334</v>
      </c>
      <c r="AO87" s="305">
        <f t="shared" si="49"/>
        <v>13628333.333333334</v>
      </c>
      <c r="AP87" s="303" t="s">
        <v>244</v>
      </c>
      <c r="AQ87" s="303" t="s">
        <v>245</v>
      </c>
      <c r="AR87" s="360" t="s">
        <v>246</v>
      </c>
      <c r="AS87" s="306" t="s">
        <v>247</v>
      </c>
      <c r="AT87" s="307" t="str">
        <f t="shared" si="59"/>
        <v>SUBDIRECCIÓN DE BIENESTAR UNIVERSITARIO</v>
      </c>
      <c r="AU87" s="308" t="s">
        <v>248</v>
      </c>
      <c r="AV87" s="361" t="s">
        <v>249</v>
      </c>
      <c r="AW87" s="303" t="s">
        <v>244</v>
      </c>
      <c r="AX87" s="303" t="s">
        <v>244</v>
      </c>
      <c r="AY87" s="362" t="s">
        <v>250</v>
      </c>
      <c r="AZ87" s="363" t="s">
        <v>251</v>
      </c>
      <c r="BA87" s="363" t="s">
        <v>252</v>
      </c>
      <c r="BB87" s="363" t="s">
        <v>250</v>
      </c>
      <c r="BC87" s="363"/>
      <c r="BD87" s="363"/>
    </row>
    <row r="88" spans="1:56" ht="56.25" customHeight="1" x14ac:dyDescent="0.2">
      <c r="A88" s="257" t="s">
        <v>330</v>
      </c>
      <c r="B88" s="299" t="s">
        <v>63</v>
      </c>
      <c r="C88" s="299" t="s">
        <v>13</v>
      </c>
      <c r="D88" s="299" t="s">
        <v>42</v>
      </c>
      <c r="E88" s="299" t="s">
        <v>88</v>
      </c>
      <c r="F88" s="350" t="s">
        <v>480</v>
      </c>
      <c r="G88" s="350" t="s">
        <v>374</v>
      </c>
      <c r="H88" s="299" t="s">
        <v>70</v>
      </c>
      <c r="I88" s="299">
        <v>1</v>
      </c>
      <c r="J88" s="251">
        <v>2200000</v>
      </c>
      <c r="K88" s="300">
        <f t="shared" si="47"/>
        <v>4.5454545454545414E-2</v>
      </c>
      <c r="L88" s="311">
        <f>IF(H88="OTRO",(J88*1.05),VLOOKUP((I88&amp;H88),'ESCALAS Salarios'!$D$2:$F$30,3,0))</f>
        <v>2300000</v>
      </c>
      <c r="M88" s="299">
        <v>1</v>
      </c>
      <c r="N88" s="299" t="s">
        <v>485</v>
      </c>
      <c r="O88" s="250">
        <v>45327</v>
      </c>
      <c r="P88" s="316">
        <v>45639</v>
      </c>
      <c r="Q88" s="312">
        <f>IF($N88="MENSUAL",ROUND((((P88-O88))/30),0)*$L88*$M88,((P88-O88)/30)*$L88*$M88)</f>
        <v>23920000</v>
      </c>
      <c r="R88" s="250"/>
      <c r="S88" s="250"/>
      <c r="T88" s="312">
        <f t="shared" si="42"/>
        <v>0</v>
      </c>
      <c r="U88" s="318">
        <f t="shared" si="43"/>
        <v>10</v>
      </c>
      <c r="V88" s="352">
        <f t="shared" si="44"/>
        <v>23920000</v>
      </c>
      <c r="W88" s="313">
        <v>12126400</v>
      </c>
      <c r="X88" s="353">
        <f t="shared" si="45"/>
        <v>0.97255574614065177</v>
      </c>
      <c r="Y88" s="378">
        <v>1077087302</v>
      </c>
      <c r="Z88" s="355" t="s">
        <v>448</v>
      </c>
      <c r="AA88" s="356">
        <f t="shared" si="46"/>
        <v>23920000</v>
      </c>
      <c r="AB88" s="270" t="s">
        <v>243</v>
      </c>
      <c r="AC88" s="393" t="s">
        <v>15</v>
      </c>
      <c r="AD88" s="358" t="s">
        <v>361</v>
      </c>
      <c r="AE88" s="358" t="s">
        <v>244</v>
      </c>
      <c r="AF88" s="359" t="str">
        <f t="shared" si="57"/>
        <v>CON-085</v>
      </c>
      <c r="AG88" s="270">
        <v>80111600</v>
      </c>
      <c r="AH88" s="249" t="s">
        <v>195</v>
      </c>
      <c r="AI88" s="301">
        <f t="shared" si="58"/>
        <v>45327</v>
      </c>
      <c r="AJ88" s="301">
        <f t="shared" si="48"/>
        <v>45327</v>
      </c>
      <c r="AK88" s="302">
        <f t="shared" si="51"/>
        <v>10</v>
      </c>
      <c r="AL88" s="303" t="s">
        <v>241</v>
      </c>
      <c r="AM88" s="304" t="s">
        <v>242</v>
      </c>
      <c r="AN88" s="305">
        <f t="shared" si="52"/>
        <v>23920000</v>
      </c>
      <c r="AO88" s="305">
        <f t="shared" si="49"/>
        <v>23920000</v>
      </c>
      <c r="AP88" s="303" t="s">
        <v>244</v>
      </c>
      <c r="AQ88" s="303" t="s">
        <v>245</v>
      </c>
      <c r="AR88" s="360" t="s">
        <v>246</v>
      </c>
      <c r="AS88" s="306" t="s">
        <v>247</v>
      </c>
      <c r="AT88" s="307" t="str">
        <f t="shared" si="59"/>
        <v xml:space="preserve">FACULTAD DE EDUCACIÓN FÍSICA </v>
      </c>
      <c r="AU88" s="308" t="s">
        <v>248</v>
      </c>
      <c r="AV88" s="361" t="s">
        <v>249</v>
      </c>
      <c r="AW88" s="303" t="s">
        <v>244</v>
      </c>
      <c r="AX88" s="303" t="s">
        <v>244</v>
      </c>
      <c r="AY88" s="362" t="s">
        <v>250</v>
      </c>
      <c r="AZ88" s="363" t="s">
        <v>251</v>
      </c>
      <c r="BA88" s="363" t="s">
        <v>252</v>
      </c>
      <c r="BB88" s="363" t="s">
        <v>250</v>
      </c>
      <c r="BC88" s="363"/>
      <c r="BD88" s="363"/>
    </row>
    <row r="89" spans="1:56" ht="36" x14ac:dyDescent="0.2">
      <c r="A89" s="257" t="s">
        <v>331</v>
      </c>
      <c r="B89" s="299" t="s">
        <v>63</v>
      </c>
      <c r="C89" s="299" t="s">
        <v>13</v>
      </c>
      <c r="D89" s="299" t="s">
        <v>42</v>
      </c>
      <c r="E89" s="299" t="s">
        <v>88</v>
      </c>
      <c r="F89" s="350" t="s">
        <v>480</v>
      </c>
      <c r="G89" s="350" t="s">
        <v>374</v>
      </c>
      <c r="H89" s="299" t="s">
        <v>70</v>
      </c>
      <c r="I89" s="299">
        <v>1</v>
      </c>
      <c r="J89" s="251">
        <v>2200000</v>
      </c>
      <c r="K89" s="300">
        <f t="shared" si="47"/>
        <v>4.5454545454545414E-2</v>
      </c>
      <c r="L89" s="311">
        <f>IF(H89="OTRO",(J89*1.05),VLOOKUP((I89&amp;H89),'ESCALAS Salarios'!$D$2:$F$30,3,0))</f>
        <v>2300000</v>
      </c>
      <c r="M89" s="299">
        <v>1</v>
      </c>
      <c r="N89" s="299" t="s">
        <v>485</v>
      </c>
      <c r="O89" s="250">
        <v>45327</v>
      </c>
      <c r="P89" s="316">
        <v>45639</v>
      </c>
      <c r="Q89" s="312">
        <f t="shared" si="50"/>
        <v>23920000</v>
      </c>
      <c r="R89" s="250"/>
      <c r="S89" s="250"/>
      <c r="T89" s="312">
        <f t="shared" si="42"/>
        <v>0</v>
      </c>
      <c r="U89" s="318">
        <f t="shared" si="43"/>
        <v>10</v>
      </c>
      <c r="V89" s="352">
        <f t="shared" si="44"/>
        <v>23920000</v>
      </c>
      <c r="W89" s="313">
        <v>22880000</v>
      </c>
      <c r="X89" s="353">
        <f t="shared" si="45"/>
        <v>4.5454545454545414E-2</v>
      </c>
      <c r="Y89" s="378">
        <v>79309771</v>
      </c>
      <c r="Z89" s="355" t="s">
        <v>449</v>
      </c>
      <c r="AA89" s="356">
        <f t="shared" si="46"/>
        <v>23920000</v>
      </c>
      <c r="AB89" s="270" t="s">
        <v>243</v>
      </c>
      <c r="AC89" s="393" t="s">
        <v>15</v>
      </c>
      <c r="AD89" s="358" t="s">
        <v>361</v>
      </c>
      <c r="AE89" s="358" t="s">
        <v>244</v>
      </c>
      <c r="AF89" s="359" t="str">
        <f t="shared" si="57"/>
        <v>CON-086</v>
      </c>
      <c r="AG89" s="270">
        <v>80111600</v>
      </c>
      <c r="AH89" s="249" t="s">
        <v>196</v>
      </c>
      <c r="AI89" s="301">
        <f t="shared" si="58"/>
        <v>45327</v>
      </c>
      <c r="AJ89" s="301">
        <f t="shared" si="48"/>
        <v>45327</v>
      </c>
      <c r="AK89" s="302">
        <f t="shared" si="51"/>
        <v>10</v>
      </c>
      <c r="AL89" s="303" t="s">
        <v>241</v>
      </c>
      <c r="AM89" s="304" t="s">
        <v>242</v>
      </c>
      <c r="AN89" s="305">
        <f t="shared" si="52"/>
        <v>23920000</v>
      </c>
      <c r="AO89" s="305">
        <f t="shared" si="49"/>
        <v>23920000</v>
      </c>
      <c r="AP89" s="303" t="s">
        <v>244</v>
      </c>
      <c r="AQ89" s="303" t="s">
        <v>245</v>
      </c>
      <c r="AR89" s="360" t="s">
        <v>246</v>
      </c>
      <c r="AS89" s="306" t="s">
        <v>247</v>
      </c>
      <c r="AT89" s="307" t="str">
        <f t="shared" si="59"/>
        <v xml:space="preserve">FACULTAD DE EDUCACIÓN FÍSICA </v>
      </c>
      <c r="AU89" s="308" t="s">
        <v>248</v>
      </c>
      <c r="AV89" s="361" t="s">
        <v>249</v>
      </c>
      <c r="AW89" s="303" t="s">
        <v>244</v>
      </c>
      <c r="AX89" s="303" t="s">
        <v>244</v>
      </c>
      <c r="AY89" s="362" t="s">
        <v>250</v>
      </c>
      <c r="AZ89" s="363" t="s">
        <v>251</v>
      </c>
      <c r="BA89" s="363" t="s">
        <v>252</v>
      </c>
      <c r="BB89" s="363" t="s">
        <v>250</v>
      </c>
      <c r="BC89" s="363"/>
      <c r="BD89" s="363"/>
    </row>
    <row r="90" spans="1:56" ht="36" x14ac:dyDescent="0.2">
      <c r="A90" s="257" t="s">
        <v>332</v>
      </c>
      <c r="B90" s="299" t="s">
        <v>63</v>
      </c>
      <c r="C90" s="299" t="s">
        <v>13</v>
      </c>
      <c r="D90" s="299" t="s">
        <v>42</v>
      </c>
      <c r="E90" s="299" t="s">
        <v>88</v>
      </c>
      <c r="F90" s="350" t="s">
        <v>480</v>
      </c>
      <c r="G90" s="350" t="s">
        <v>374</v>
      </c>
      <c r="H90" s="299" t="s">
        <v>70</v>
      </c>
      <c r="I90" s="299">
        <v>1</v>
      </c>
      <c r="J90" s="251">
        <v>2200000</v>
      </c>
      <c r="K90" s="300">
        <f t="shared" si="47"/>
        <v>4.5454545454545414E-2</v>
      </c>
      <c r="L90" s="311">
        <f>IF(H90="OTRO",(J90*1.05),VLOOKUP((I90&amp;H90),'ESCALAS Salarios'!$D$2:$F$30,3,0))</f>
        <v>2300000</v>
      </c>
      <c r="M90" s="299">
        <v>1</v>
      </c>
      <c r="N90" s="299" t="s">
        <v>485</v>
      </c>
      <c r="O90" s="250">
        <v>45327</v>
      </c>
      <c r="P90" s="316">
        <v>45639</v>
      </c>
      <c r="Q90" s="312">
        <f t="shared" si="50"/>
        <v>23920000</v>
      </c>
      <c r="R90" s="250"/>
      <c r="S90" s="250"/>
      <c r="T90" s="312">
        <f t="shared" si="42"/>
        <v>0</v>
      </c>
      <c r="U90" s="318">
        <f t="shared" si="43"/>
        <v>10</v>
      </c>
      <c r="V90" s="352">
        <f t="shared" si="44"/>
        <v>23920000</v>
      </c>
      <c r="W90" s="313">
        <v>22880000</v>
      </c>
      <c r="X90" s="353">
        <f t="shared" si="45"/>
        <v>4.5454545454545414E-2</v>
      </c>
      <c r="Y90" s="378">
        <v>1023901267</v>
      </c>
      <c r="Z90" s="355" t="s">
        <v>450</v>
      </c>
      <c r="AA90" s="356">
        <f t="shared" si="46"/>
        <v>23920000</v>
      </c>
      <c r="AB90" s="270" t="s">
        <v>243</v>
      </c>
      <c r="AC90" s="393" t="s">
        <v>15</v>
      </c>
      <c r="AD90" s="358" t="s">
        <v>361</v>
      </c>
      <c r="AE90" s="358" t="s">
        <v>244</v>
      </c>
      <c r="AF90" s="359" t="str">
        <f t="shared" si="57"/>
        <v>CON-087</v>
      </c>
      <c r="AG90" s="270">
        <v>80111600</v>
      </c>
      <c r="AH90" s="249" t="s">
        <v>197</v>
      </c>
      <c r="AI90" s="301">
        <f t="shared" si="58"/>
        <v>45327</v>
      </c>
      <c r="AJ90" s="301">
        <f t="shared" si="48"/>
        <v>45327</v>
      </c>
      <c r="AK90" s="302">
        <f t="shared" si="51"/>
        <v>10</v>
      </c>
      <c r="AL90" s="303" t="s">
        <v>241</v>
      </c>
      <c r="AM90" s="304" t="s">
        <v>242</v>
      </c>
      <c r="AN90" s="305">
        <f t="shared" si="52"/>
        <v>23920000</v>
      </c>
      <c r="AO90" s="305">
        <f t="shared" si="49"/>
        <v>23920000</v>
      </c>
      <c r="AP90" s="303" t="s">
        <v>244</v>
      </c>
      <c r="AQ90" s="303" t="s">
        <v>245</v>
      </c>
      <c r="AR90" s="360" t="s">
        <v>246</v>
      </c>
      <c r="AS90" s="306" t="s">
        <v>247</v>
      </c>
      <c r="AT90" s="307" t="str">
        <f t="shared" si="59"/>
        <v xml:space="preserve">FACULTAD DE EDUCACIÓN FÍSICA </v>
      </c>
      <c r="AU90" s="308" t="s">
        <v>248</v>
      </c>
      <c r="AV90" s="361" t="s">
        <v>249</v>
      </c>
      <c r="AW90" s="303" t="s">
        <v>244</v>
      </c>
      <c r="AX90" s="303" t="s">
        <v>244</v>
      </c>
      <c r="AY90" s="362" t="s">
        <v>250</v>
      </c>
      <c r="AZ90" s="363" t="s">
        <v>251</v>
      </c>
      <c r="BA90" s="363" t="s">
        <v>252</v>
      </c>
      <c r="BB90" s="363" t="s">
        <v>250</v>
      </c>
      <c r="BC90" s="363"/>
      <c r="BD90" s="363"/>
    </row>
    <row r="91" spans="1:56" ht="48" x14ac:dyDescent="0.2">
      <c r="A91" s="257" t="s">
        <v>333</v>
      </c>
      <c r="B91" s="299" t="s">
        <v>63</v>
      </c>
      <c r="C91" s="299" t="s">
        <v>13</v>
      </c>
      <c r="D91" s="299" t="s">
        <v>42</v>
      </c>
      <c r="E91" s="299" t="s">
        <v>88</v>
      </c>
      <c r="F91" s="350" t="s">
        <v>480</v>
      </c>
      <c r="G91" s="350" t="s">
        <v>374</v>
      </c>
      <c r="H91" s="299" t="s">
        <v>70</v>
      </c>
      <c r="I91" s="299">
        <v>1</v>
      </c>
      <c r="J91" s="251">
        <v>2200000</v>
      </c>
      <c r="K91" s="300">
        <f t="shared" si="47"/>
        <v>4.5454545454545414E-2</v>
      </c>
      <c r="L91" s="311">
        <f>IF(H91="OTRO",(J91*1.05),VLOOKUP((I91&amp;H91),'ESCALAS Salarios'!$D$2:$F$30,3,0))</f>
        <v>2300000</v>
      </c>
      <c r="M91" s="299">
        <v>1</v>
      </c>
      <c r="N91" s="299" t="s">
        <v>485</v>
      </c>
      <c r="O91" s="250">
        <v>45327</v>
      </c>
      <c r="P91" s="316">
        <v>45639</v>
      </c>
      <c r="Q91" s="312">
        <f t="shared" si="50"/>
        <v>23920000</v>
      </c>
      <c r="R91" s="250"/>
      <c r="S91" s="250"/>
      <c r="T91" s="312">
        <f t="shared" si="42"/>
        <v>0</v>
      </c>
      <c r="U91" s="318">
        <f t="shared" si="43"/>
        <v>10</v>
      </c>
      <c r="V91" s="352">
        <f t="shared" si="44"/>
        <v>23920000</v>
      </c>
      <c r="W91" s="313">
        <v>22880000</v>
      </c>
      <c r="X91" s="353">
        <f t="shared" si="45"/>
        <v>4.5454545454545414E-2</v>
      </c>
      <c r="Y91" s="378">
        <v>1013650846</v>
      </c>
      <c r="Z91" s="355" t="s">
        <v>43</v>
      </c>
      <c r="AA91" s="356">
        <f t="shared" si="46"/>
        <v>23920000</v>
      </c>
      <c r="AB91" s="270" t="s">
        <v>243</v>
      </c>
      <c r="AC91" s="393" t="s">
        <v>15</v>
      </c>
      <c r="AD91" s="358" t="s">
        <v>361</v>
      </c>
      <c r="AE91" s="358" t="s">
        <v>244</v>
      </c>
      <c r="AF91" s="359" t="str">
        <f t="shared" si="57"/>
        <v>CON-088</v>
      </c>
      <c r="AG91" s="270">
        <v>80111600</v>
      </c>
      <c r="AH91" s="249" t="s">
        <v>198</v>
      </c>
      <c r="AI91" s="301">
        <f t="shared" si="58"/>
        <v>45327</v>
      </c>
      <c r="AJ91" s="301">
        <f t="shared" si="48"/>
        <v>45327</v>
      </c>
      <c r="AK91" s="302">
        <f t="shared" si="51"/>
        <v>10</v>
      </c>
      <c r="AL91" s="303" t="s">
        <v>241</v>
      </c>
      <c r="AM91" s="304" t="s">
        <v>242</v>
      </c>
      <c r="AN91" s="305">
        <f t="shared" si="52"/>
        <v>23920000</v>
      </c>
      <c r="AO91" s="305">
        <f t="shared" si="49"/>
        <v>23920000</v>
      </c>
      <c r="AP91" s="303" t="s">
        <v>244</v>
      </c>
      <c r="AQ91" s="303" t="s">
        <v>245</v>
      </c>
      <c r="AR91" s="360" t="s">
        <v>246</v>
      </c>
      <c r="AS91" s="306" t="s">
        <v>247</v>
      </c>
      <c r="AT91" s="307" t="str">
        <f t="shared" si="59"/>
        <v xml:space="preserve">FACULTAD DE EDUCACIÓN FÍSICA </v>
      </c>
      <c r="AU91" s="308" t="s">
        <v>248</v>
      </c>
      <c r="AV91" s="361" t="s">
        <v>249</v>
      </c>
      <c r="AW91" s="303" t="s">
        <v>244</v>
      </c>
      <c r="AX91" s="303" t="s">
        <v>244</v>
      </c>
      <c r="AY91" s="362" t="s">
        <v>250</v>
      </c>
      <c r="AZ91" s="363" t="s">
        <v>251</v>
      </c>
      <c r="BA91" s="363" t="s">
        <v>252</v>
      </c>
      <c r="BB91" s="363" t="s">
        <v>250</v>
      </c>
      <c r="BC91" s="363"/>
      <c r="BD91" s="363"/>
    </row>
    <row r="92" spans="1:56" ht="48" x14ac:dyDescent="0.2">
      <c r="A92" s="257" t="s">
        <v>334</v>
      </c>
      <c r="B92" s="299" t="s">
        <v>63</v>
      </c>
      <c r="C92" s="299" t="s">
        <v>13</v>
      </c>
      <c r="D92" s="299" t="s">
        <v>42</v>
      </c>
      <c r="E92" s="299" t="s">
        <v>88</v>
      </c>
      <c r="F92" s="350" t="s">
        <v>480</v>
      </c>
      <c r="G92" s="350" t="s">
        <v>374</v>
      </c>
      <c r="H92" s="299" t="s">
        <v>70</v>
      </c>
      <c r="I92" s="299">
        <v>1</v>
      </c>
      <c r="J92" s="251">
        <v>2200000</v>
      </c>
      <c r="K92" s="300">
        <f t="shared" si="47"/>
        <v>4.5454545454545414E-2</v>
      </c>
      <c r="L92" s="311">
        <f>IF(H92="OTRO",(J92*1.05),VLOOKUP((I92&amp;H92),'ESCALAS Salarios'!$D$2:$F$30,3,0))</f>
        <v>2300000</v>
      </c>
      <c r="M92" s="299">
        <v>1</v>
      </c>
      <c r="N92" s="299" t="s">
        <v>485</v>
      </c>
      <c r="O92" s="250">
        <v>45327</v>
      </c>
      <c r="P92" s="316">
        <v>45639</v>
      </c>
      <c r="Q92" s="312">
        <f t="shared" si="50"/>
        <v>23920000</v>
      </c>
      <c r="R92" s="250"/>
      <c r="S92" s="250"/>
      <c r="T92" s="312">
        <f t="shared" si="42"/>
        <v>0</v>
      </c>
      <c r="U92" s="318">
        <f t="shared" si="43"/>
        <v>10</v>
      </c>
      <c r="V92" s="352">
        <f t="shared" si="44"/>
        <v>23920000</v>
      </c>
      <c r="W92" s="313">
        <v>22880000</v>
      </c>
      <c r="X92" s="353">
        <f t="shared" si="45"/>
        <v>4.5454545454545414E-2</v>
      </c>
      <c r="Y92" s="378">
        <v>53159448</v>
      </c>
      <c r="Z92" s="355" t="s">
        <v>451</v>
      </c>
      <c r="AA92" s="356">
        <f t="shared" si="46"/>
        <v>23920000</v>
      </c>
      <c r="AB92" s="270" t="s">
        <v>243</v>
      </c>
      <c r="AC92" s="393" t="s">
        <v>15</v>
      </c>
      <c r="AD92" s="358" t="s">
        <v>361</v>
      </c>
      <c r="AE92" s="358" t="s">
        <v>244</v>
      </c>
      <c r="AF92" s="359" t="str">
        <f t="shared" si="57"/>
        <v>CON-089</v>
      </c>
      <c r="AG92" s="270">
        <v>80111600</v>
      </c>
      <c r="AH92" s="249" t="s">
        <v>199</v>
      </c>
      <c r="AI92" s="301">
        <f t="shared" si="58"/>
        <v>45327</v>
      </c>
      <c r="AJ92" s="301">
        <f t="shared" si="48"/>
        <v>45327</v>
      </c>
      <c r="AK92" s="302">
        <f t="shared" si="51"/>
        <v>10</v>
      </c>
      <c r="AL92" s="303" t="s">
        <v>241</v>
      </c>
      <c r="AM92" s="304" t="s">
        <v>242</v>
      </c>
      <c r="AN92" s="305">
        <f t="shared" si="52"/>
        <v>23920000</v>
      </c>
      <c r="AO92" s="305">
        <f t="shared" si="49"/>
        <v>23920000</v>
      </c>
      <c r="AP92" s="303" t="s">
        <v>244</v>
      </c>
      <c r="AQ92" s="303" t="s">
        <v>245</v>
      </c>
      <c r="AR92" s="360" t="s">
        <v>246</v>
      </c>
      <c r="AS92" s="306" t="s">
        <v>247</v>
      </c>
      <c r="AT92" s="307" t="str">
        <f t="shared" si="59"/>
        <v xml:space="preserve">FACULTAD DE EDUCACIÓN FÍSICA </v>
      </c>
      <c r="AU92" s="308" t="s">
        <v>248</v>
      </c>
      <c r="AV92" s="361" t="s">
        <v>249</v>
      </c>
      <c r="AW92" s="303" t="s">
        <v>244</v>
      </c>
      <c r="AX92" s="303" t="s">
        <v>244</v>
      </c>
      <c r="AY92" s="362" t="s">
        <v>250</v>
      </c>
      <c r="AZ92" s="363" t="s">
        <v>251</v>
      </c>
      <c r="BA92" s="363" t="s">
        <v>252</v>
      </c>
      <c r="BB92" s="363" t="s">
        <v>250</v>
      </c>
      <c r="BC92" s="363"/>
      <c r="BD92" s="363"/>
    </row>
    <row r="93" spans="1:56" ht="48" x14ac:dyDescent="0.2">
      <c r="A93" s="257" t="s">
        <v>335</v>
      </c>
      <c r="B93" s="299" t="s">
        <v>63</v>
      </c>
      <c r="C93" s="299" t="s">
        <v>13</v>
      </c>
      <c r="D93" s="299" t="s">
        <v>89</v>
      </c>
      <c r="E93" s="299" t="s">
        <v>44</v>
      </c>
      <c r="F93" s="350" t="s">
        <v>76</v>
      </c>
      <c r="G93" s="350" t="s">
        <v>72</v>
      </c>
      <c r="H93" s="299" t="s">
        <v>473</v>
      </c>
      <c r="I93" s="299"/>
      <c r="J93" s="379">
        <f>288271585/12/10.5</f>
        <v>2287869.722222222</v>
      </c>
      <c r="K93" s="300">
        <f t="shared" si="47"/>
        <v>0.28146501154458226</v>
      </c>
      <c r="L93" s="311">
        <v>2931825</v>
      </c>
      <c r="M93" s="299">
        <v>12</v>
      </c>
      <c r="N93" s="299" t="s">
        <v>485</v>
      </c>
      <c r="O93" s="250">
        <v>45327</v>
      </c>
      <c r="P93" s="316">
        <v>45641</v>
      </c>
      <c r="Q93" s="312">
        <f t="shared" si="50"/>
        <v>368237220</v>
      </c>
      <c r="R93" s="250"/>
      <c r="S93" s="250"/>
      <c r="T93" s="312">
        <f t="shared" si="42"/>
        <v>0</v>
      </c>
      <c r="U93" s="318">
        <f t="shared" si="43"/>
        <v>10</v>
      </c>
      <c r="V93" s="352">
        <v>18896299</v>
      </c>
      <c r="W93" s="313">
        <v>288271585</v>
      </c>
      <c r="X93" s="353">
        <f t="shared" si="45"/>
        <v>-0.93444966488806036</v>
      </c>
      <c r="Y93" s="350"/>
      <c r="Z93" s="350" t="s">
        <v>19</v>
      </c>
      <c r="AA93" s="356">
        <f t="shared" si="46"/>
        <v>18896299</v>
      </c>
      <c r="AB93" s="270" t="s">
        <v>243</v>
      </c>
      <c r="AC93" s="393" t="s">
        <v>15</v>
      </c>
      <c r="AD93" s="358" t="s">
        <v>361</v>
      </c>
      <c r="AE93" s="358" t="s">
        <v>244</v>
      </c>
      <c r="AF93" s="359" t="str">
        <f t="shared" si="57"/>
        <v>CON-090</v>
      </c>
      <c r="AG93" s="270">
        <v>80111600</v>
      </c>
      <c r="AH93" s="249" t="s">
        <v>45</v>
      </c>
      <c r="AI93" s="301">
        <f t="shared" si="58"/>
        <v>45327</v>
      </c>
      <c r="AJ93" s="301">
        <f t="shared" si="48"/>
        <v>45327</v>
      </c>
      <c r="AK93" s="302">
        <f t="shared" si="51"/>
        <v>10</v>
      </c>
      <c r="AL93" s="303" t="s">
        <v>241</v>
      </c>
      <c r="AM93" s="304" t="s">
        <v>242</v>
      </c>
      <c r="AN93" s="305">
        <v>368237220</v>
      </c>
      <c r="AO93" s="305">
        <f>+AN93</f>
        <v>368237220</v>
      </c>
      <c r="AP93" s="303" t="s">
        <v>244</v>
      </c>
      <c r="AQ93" s="303" t="s">
        <v>245</v>
      </c>
      <c r="AR93" s="360" t="s">
        <v>246</v>
      </c>
      <c r="AS93" s="306" t="s">
        <v>247</v>
      </c>
      <c r="AT93" s="307" t="str">
        <f t="shared" si="59"/>
        <v>FACULTAD DE EDUCACIÓN</v>
      </c>
      <c r="AU93" s="308" t="s">
        <v>248</v>
      </c>
      <c r="AV93" s="361" t="s">
        <v>249</v>
      </c>
      <c r="AW93" s="303" t="s">
        <v>244</v>
      </c>
      <c r="AX93" s="303" t="s">
        <v>244</v>
      </c>
      <c r="AY93" s="362" t="s">
        <v>250</v>
      </c>
      <c r="AZ93" s="363" t="s">
        <v>251</v>
      </c>
      <c r="BA93" s="363" t="s">
        <v>252</v>
      </c>
      <c r="BB93" s="363" t="s">
        <v>250</v>
      </c>
      <c r="BC93" s="363"/>
      <c r="BD93" s="363"/>
    </row>
    <row r="94" spans="1:56" ht="104.25" customHeight="1" x14ac:dyDescent="0.2">
      <c r="A94" s="257" t="s">
        <v>336</v>
      </c>
      <c r="B94" s="299" t="s">
        <v>63</v>
      </c>
      <c r="C94" s="299" t="s">
        <v>13</v>
      </c>
      <c r="D94" s="299" t="s">
        <v>89</v>
      </c>
      <c r="E94" s="299" t="s">
        <v>44</v>
      </c>
      <c r="F94" s="350" t="s">
        <v>383</v>
      </c>
      <c r="G94" s="350" t="s">
        <v>374</v>
      </c>
      <c r="H94" s="299" t="s">
        <v>69</v>
      </c>
      <c r="I94" s="299">
        <v>4</v>
      </c>
      <c r="J94" s="251">
        <v>3750000</v>
      </c>
      <c r="K94" s="300">
        <f t="shared" si="47"/>
        <v>4.0000000000000036E-2</v>
      </c>
      <c r="L94" s="311">
        <f>IF(H94="OTRO",(J94*1.05),VLOOKUP((I94&amp;H94),'ESCALAS Salarios'!$D$2:$F$30,3,0))</f>
        <v>3900000</v>
      </c>
      <c r="M94" s="299">
        <v>1</v>
      </c>
      <c r="N94" s="299" t="s">
        <v>485</v>
      </c>
      <c r="O94" s="250">
        <v>45327</v>
      </c>
      <c r="P94" s="316">
        <v>45641</v>
      </c>
      <c r="Q94" s="312">
        <v>36920000</v>
      </c>
      <c r="R94" s="250"/>
      <c r="S94" s="380"/>
      <c r="T94" s="312">
        <f t="shared" si="42"/>
        <v>0</v>
      </c>
      <c r="U94" s="318">
        <f t="shared" si="43"/>
        <v>10</v>
      </c>
      <c r="V94" s="352">
        <f>+Q94+T94</f>
        <v>36920000</v>
      </c>
      <c r="W94" s="313">
        <v>39625000</v>
      </c>
      <c r="X94" s="353">
        <f t="shared" si="45"/>
        <v>-6.8264984227129344E-2</v>
      </c>
      <c r="Y94" s="375">
        <v>89009341</v>
      </c>
      <c r="Z94" s="376" t="s">
        <v>452</v>
      </c>
      <c r="AA94" s="356">
        <f t="shared" si="46"/>
        <v>36920000</v>
      </c>
      <c r="AB94" s="270" t="s">
        <v>243</v>
      </c>
      <c r="AC94" s="393" t="s">
        <v>15</v>
      </c>
      <c r="AD94" s="358" t="s">
        <v>361</v>
      </c>
      <c r="AE94" s="358" t="s">
        <v>244</v>
      </c>
      <c r="AF94" s="359" t="str">
        <f t="shared" si="57"/>
        <v>CON-091</v>
      </c>
      <c r="AG94" s="270">
        <v>80111600</v>
      </c>
      <c r="AH94" s="249" t="s">
        <v>200</v>
      </c>
      <c r="AI94" s="301">
        <f t="shared" si="58"/>
        <v>45327</v>
      </c>
      <c r="AJ94" s="301">
        <f t="shared" si="48"/>
        <v>45327</v>
      </c>
      <c r="AK94" s="302">
        <f t="shared" si="51"/>
        <v>10</v>
      </c>
      <c r="AL94" s="303" t="s">
        <v>241</v>
      </c>
      <c r="AM94" s="304" t="s">
        <v>242</v>
      </c>
      <c r="AN94" s="305">
        <f t="shared" si="52"/>
        <v>36920000</v>
      </c>
      <c r="AO94" s="305">
        <f t="shared" si="49"/>
        <v>36920000</v>
      </c>
      <c r="AP94" s="303" t="s">
        <v>244</v>
      </c>
      <c r="AQ94" s="303" t="s">
        <v>245</v>
      </c>
      <c r="AR94" s="360" t="s">
        <v>246</v>
      </c>
      <c r="AS94" s="306" t="s">
        <v>247</v>
      </c>
      <c r="AT94" s="307" t="str">
        <f t="shared" si="59"/>
        <v>FACULTAD DE EDUCACIÓN</v>
      </c>
      <c r="AU94" s="308" t="s">
        <v>248</v>
      </c>
      <c r="AV94" s="361" t="s">
        <v>249</v>
      </c>
      <c r="AW94" s="303" t="s">
        <v>244</v>
      </c>
      <c r="AX94" s="303" t="s">
        <v>244</v>
      </c>
      <c r="AY94" s="362" t="s">
        <v>250</v>
      </c>
      <c r="AZ94" s="363" t="s">
        <v>251</v>
      </c>
      <c r="BA94" s="363" t="s">
        <v>252</v>
      </c>
      <c r="BB94" s="363" t="s">
        <v>250</v>
      </c>
      <c r="BC94" s="363"/>
      <c r="BD94" s="363"/>
    </row>
    <row r="95" spans="1:56" ht="41.25" customHeight="1" x14ac:dyDescent="0.2">
      <c r="A95" s="257" t="s">
        <v>337</v>
      </c>
      <c r="B95" s="299" t="s">
        <v>63</v>
      </c>
      <c r="C95" s="299" t="s">
        <v>13</v>
      </c>
      <c r="D95" s="299" t="s">
        <v>22</v>
      </c>
      <c r="E95" s="299" t="s">
        <v>46</v>
      </c>
      <c r="F95" s="350" t="s">
        <v>383</v>
      </c>
      <c r="G95" s="350" t="s">
        <v>374</v>
      </c>
      <c r="H95" s="299" t="s">
        <v>69</v>
      </c>
      <c r="I95" s="299">
        <v>1</v>
      </c>
      <c r="J95" s="251">
        <v>3000000</v>
      </c>
      <c r="K95" s="300">
        <f t="shared" si="47"/>
        <v>3.3333333333333437E-2</v>
      </c>
      <c r="L95" s="311">
        <f>IF(H95="OTRO",(J95*1.05),VLOOKUP((I95&amp;H95),'ESCALAS Salarios'!$D$2:$F$30,3,0))</f>
        <v>3100000</v>
      </c>
      <c r="M95" s="299">
        <v>1</v>
      </c>
      <c r="N95" s="299" t="s">
        <v>485</v>
      </c>
      <c r="O95" s="250">
        <v>45327</v>
      </c>
      <c r="P95" s="316">
        <v>45634</v>
      </c>
      <c r="Q95" s="312">
        <f t="shared" si="50"/>
        <v>31723333.333333332</v>
      </c>
      <c r="R95" s="250"/>
      <c r="S95" s="250"/>
      <c r="T95" s="312">
        <f t="shared" si="42"/>
        <v>0</v>
      </c>
      <c r="U95" s="318">
        <f t="shared" si="43"/>
        <v>10</v>
      </c>
      <c r="V95" s="352">
        <f t="shared" si="44"/>
        <v>31723333.333333332</v>
      </c>
      <c r="W95" s="313">
        <v>30500000</v>
      </c>
      <c r="X95" s="353">
        <f t="shared" si="45"/>
        <v>4.0109289617486388E-2</v>
      </c>
      <c r="Y95" s="375">
        <v>1022351168</v>
      </c>
      <c r="Z95" s="376" t="s">
        <v>47</v>
      </c>
      <c r="AA95" s="356">
        <f t="shared" si="46"/>
        <v>31723333.333333332</v>
      </c>
      <c r="AB95" s="270" t="s">
        <v>243</v>
      </c>
      <c r="AC95" s="393" t="s">
        <v>15</v>
      </c>
      <c r="AD95" s="358" t="s">
        <v>361</v>
      </c>
      <c r="AE95" s="358" t="s">
        <v>244</v>
      </c>
      <c r="AF95" s="359" t="str">
        <f t="shared" si="57"/>
        <v>CON-092</v>
      </c>
      <c r="AG95" s="270">
        <v>80111600</v>
      </c>
      <c r="AH95" s="249" t="s">
        <v>201</v>
      </c>
      <c r="AI95" s="301">
        <f t="shared" si="58"/>
        <v>45327</v>
      </c>
      <c r="AJ95" s="301">
        <f t="shared" si="48"/>
        <v>45327</v>
      </c>
      <c r="AK95" s="302">
        <f t="shared" si="51"/>
        <v>10</v>
      </c>
      <c r="AL95" s="303" t="s">
        <v>241</v>
      </c>
      <c r="AM95" s="304" t="s">
        <v>242</v>
      </c>
      <c r="AN95" s="305">
        <f t="shared" si="52"/>
        <v>31723333.333333332</v>
      </c>
      <c r="AO95" s="305">
        <f t="shared" si="49"/>
        <v>31723333.333333332</v>
      </c>
      <c r="AP95" s="303" t="s">
        <v>244</v>
      </c>
      <c r="AQ95" s="303" t="s">
        <v>245</v>
      </c>
      <c r="AR95" s="360" t="s">
        <v>246</v>
      </c>
      <c r="AS95" s="306" t="s">
        <v>247</v>
      </c>
      <c r="AT95" s="307" t="str">
        <f t="shared" si="59"/>
        <v>FACULTAD DE CIENCIA Y TECNOLOGÍA</v>
      </c>
      <c r="AU95" s="308" t="s">
        <v>248</v>
      </c>
      <c r="AV95" s="361" t="s">
        <v>249</v>
      </c>
      <c r="AW95" s="303" t="s">
        <v>244</v>
      </c>
      <c r="AX95" s="303" t="s">
        <v>244</v>
      </c>
      <c r="AY95" s="362" t="s">
        <v>250</v>
      </c>
      <c r="AZ95" s="363" t="s">
        <v>251</v>
      </c>
      <c r="BA95" s="363" t="s">
        <v>252</v>
      </c>
      <c r="BB95" s="363" t="s">
        <v>250</v>
      </c>
      <c r="BC95" s="363"/>
      <c r="BD95" s="363"/>
    </row>
    <row r="96" spans="1:56" ht="48.75" customHeight="1" x14ac:dyDescent="0.2">
      <c r="A96" s="257" t="s">
        <v>338</v>
      </c>
      <c r="B96" s="299" t="s">
        <v>63</v>
      </c>
      <c r="C96" s="299" t="s">
        <v>48</v>
      </c>
      <c r="D96" s="299" t="s">
        <v>48</v>
      </c>
      <c r="E96" s="299"/>
      <c r="F96" s="350" t="s">
        <v>383</v>
      </c>
      <c r="G96" s="350" t="s">
        <v>374</v>
      </c>
      <c r="H96" s="299" t="s">
        <v>69</v>
      </c>
      <c r="I96" s="299">
        <v>1</v>
      </c>
      <c r="J96" s="251">
        <v>3000000</v>
      </c>
      <c r="K96" s="300">
        <f t="shared" si="47"/>
        <v>3.3333333333333437E-2</v>
      </c>
      <c r="L96" s="311">
        <f>IF(H96="OTRO",(J96*1.05),VLOOKUP((I96&amp;H96),'ESCALAS Salarios'!$D$2:$F$30,3,0))</f>
        <v>3100000</v>
      </c>
      <c r="M96" s="299">
        <v>1</v>
      </c>
      <c r="N96" s="299" t="s">
        <v>485</v>
      </c>
      <c r="O96" s="250">
        <v>45306</v>
      </c>
      <c r="P96" s="316">
        <v>45632</v>
      </c>
      <c r="Q96" s="312">
        <f t="shared" si="50"/>
        <v>33686666.666666672</v>
      </c>
      <c r="R96" s="250"/>
      <c r="S96" s="250"/>
      <c r="T96" s="312">
        <v>9300000</v>
      </c>
      <c r="U96" s="318">
        <f>ROUND((((P96-O96)+(S96-R96))/30),0)</f>
        <v>11</v>
      </c>
      <c r="V96" s="352">
        <f t="shared" si="44"/>
        <v>42986666.666666672</v>
      </c>
      <c r="W96" s="313">
        <v>33300000</v>
      </c>
      <c r="X96" s="353">
        <f t="shared" si="45"/>
        <v>0.29089089089089093</v>
      </c>
      <c r="Y96" s="375">
        <v>1082966673</v>
      </c>
      <c r="Z96" s="376" t="s">
        <v>453</v>
      </c>
      <c r="AA96" s="356">
        <f t="shared" si="46"/>
        <v>42986666.666666672</v>
      </c>
      <c r="AB96" s="270" t="s">
        <v>243</v>
      </c>
      <c r="AC96" s="393" t="s">
        <v>1</v>
      </c>
      <c r="AD96" s="358" t="s">
        <v>361</v>
      </c>
      <c r="AE96" s="358" t="s">
        <v>244</v>
      </c>
      <c r="AF96" s="359" t="str">
        <f t="shared" si="57"/>
        <v>CON-093</v>
      </c>
      <c r="AG96" s="270">
        <v>80111600</v>
      </c>
      <c r="AH96" s="249" t="s">
        <v>679</v>
      </c>
      <c r="AI96" s="301">
        <f t="shared" si="58"/>
        <v>45306</v>
      </c>
      <c r="AJ96" s="301">
        <f t="shared" si="48"/>
        <v>45306</v>
      </c>
      <c r="AK96" s="302">
        <f t="shared" si="51"/>
        <v>11</v>
      </c>
      <c r="AL96" s="303" t="s">
        <v>241</v>
      </c>
      <c r="AM96" s="304" t="s">
        <v>242</v>
      </c>
      <c r="AN96" s="256">
        <f t="shared" si="52"/>
        <v>42986666.666666672</v>
      </c>
      <c r="AO96" s="256">
        <f t="shared" si="49"/>
        <v>42986666.666666672</v>
      </c>
      <c r="AP96" s="303" t="s">
        <v>244</v>
      </c>
      <c r="AQ96" s="303" t="s">
        <v>245</v>
      </c>
      <c r="AR96" s="360" t="s">
        <v>246</v>
      </c>
      <c r="AS96" s="306" t="s">
        <v>247</v>
      </c>
      <c r="AT96" s="307" t="str">
        <f t="shared" si="59"/>
        <v>INSTITUTO PEDAGÓGICO NACIONAL</v>
      </c>
      <c r="AU96" s="308" t="s">
        <v>248</v>
      </c>
      <c r="AV96" s="361" t="s">
        <v>249</v>
      </c>
      <c r="AW96" s="303" t="s">
        <v>244</v>
      </c>
      <c r="AX96" s="303" t="s">
        <v>244</v>
      </c>
      <c r="AY96" s="362" t="s">
        <v>250</v>
      </c>
      <c r="AZ96" s="363" t="s">
        <v>251</v>
      </c>
      <c r="BA96" s="363" t="s">
        <v>252</v>
      </c>
      <c r="BB96" s="363" t="s">
        <v>250</v>
      </c>
      <c r="BC96" s="363"/>
      <c r="BD96" s="363"/>
    </row>
    <row r="97" spans="1:56" ht="44.25" customHeight="1" x14ac:dyDescent="0.2">
      <c r="A97" s="257" t="s">
        <v>339</v>
      </c>
      <c r="B97" s="299" t="s">
        <v>63</v>
      </c>
      <c r="C97" s="299" t="s">
        <v>48</v>
      </c>
      <c r="D97" s="299" t="s">
        <v>48</v>
      </c>
      <c r="E97" s="299"/>
      <c r="F97" s="350" t="s">
        <v>480</v>
      </c>
      <c r="G97" s="350" t="s">
        <v>374</v>
      </c>
      <c r="H97" s="299" t="s">
        <v>70</v>
      </c>
      <c r="I97" s="299">
        <v>1</v>
      </c>
      <c r="J97" s="251">
        <v>2200000</v>
      </c>
      <c r="K97" s="300">
        <f t="shared" si="47"/>
        <v>4.5454545454545414E-2</v>
      </c>
      <c r="L97" s="311">
        <f>IF(H97="OTRO",(J97*1.05),VLOOKUP((I97&amp;H97),'ESCALAS Salarios'!$D$2:$F$30,3,0))</f>
        <v>2300000</v>
      </c>
      <c r="M97" s="299">
        <v>1</v>
      </c>
      <c r="N97" s="299" t="s">
        <v>485</v>
      </c>
      <c r="O97" s="250">
        <v>45327</v>
      </c>
      <c r="P97" s="316">
        <v>45632</v>
      </c>
      <c r="Q97" s="312">
        <v>20700000</v>
      </c>
      <c r="R97" s="250"/>
      <c r="S97" s="250"/>
      <c r="T97" s="312">
        <f t="shared" si="42"/>
        <v>0</v>
      </c>
      <c r="U97" s="318">
        <f t="shared" si="43"/>
        <v>10</v>
      </c>
      <c r="V97" s="352">
        <f t="shared" si="44"/>
        <v>20700000</v>
      </c>
      <c r="W97" s="313">
        <v>22733333.333333336</v>
      </c>
      <c r="X97" s="353">
        <f t="shared" si="45"/>
        <v>-8.9442815249267005E-2</v>
      </c>
      <c r="Y97" s="375">
        <v>1121937406</v>
      </c>
      <c r="Z97" s="376" t="s">
        <v>454</v>
      </c>
      <c r="AA97" s="356">
        <f t="shared" si="46"/>
        <v>20700000</v>
      </c>
      <c r="AB97" s="270" t="s">
        <v>243</v>
      </c>
      <c r="AC97" s="393" t="s">
        <v>15</v>
      </c>
      <c r="AD97" s="358" t="s">
        <v>361</v>
      </c>
      <c r="AE97" s="358" t="s">
        <v>244</v>
      </c>
      <c r="AF97" s="359" t="str">
        <f t="shared" si="57"/>
        <v>CON-094</v>
      </c>
      <c r="AG97" s="270">
        <v>80111600</v>
      </c>
      <c r="AH97" s="249" t="s">
        <v>203</v>
      </c>
      <c r="AI97" s="301">
        <f t="shared" si="58"/>
        <v>45327</v>
      </c>
      <c r="AJ97" s="301">
        <f t="shared" si="48"/>
        <v>45327</v>
      </c>
      <c r="AK97" s="302">
        <f t="shared" si="51"/>
        <v>10</v>
      </c>
      <c r="AL97" s="303" t="s">
        <v>241</v>
      </c>
      <c r="AM97" s="304" t="s">
        <v>242</v>
      </c>
      <c r="AN97" s="305">
        <f t="shared" si="52"/>
        <v>20700000</v>
      </c>
      <c r="AO97" s="305">
        <f t="shared" si="49"/>
        <v>20700000</v>
      </c>
      <c r="AP97" s="303" t="s">
        <v>244</v>
      </c>
      <c r="AQ97" s="303" t="s">
        <v>245</v>
      </c>
      <c r="AR97" s="360" t="s">
        <v>246</v>
      </c>
      <c r="AS97" s="306" t="s">
        <v>247</v>
      </c>
      <c r="AT97" s="307" t="str">
        <f t="shared" si="59"/>
        <v>INSTITUTO PEDAGÓGICO NACIONAL</v>
      </c>
      <c r="AU97" s="308" t="s">
        <v>248</v>
      </c>
      <c r="AV97" s="361" t="s">
        <v>249</v>
      </c>
      <c r="AW97" s="303" t="s">
        <v>244</v>
      </c>
      <c r="AX97" s="303" t="s">
        <v>244</v>
      </c>
      <c r="AY97" s="362" t="s">
        <v>250</v>
      </c>
      <c r="AZ97" s="363" t="s">
        <v>251</v>
      </c>
      <c r="BA97" s="363" t="s">
        <v>252</v>
      </c>
      <c r="BB97" s="363" t="s">
        <v>250</v>
      </c>
      <c r="BC97" s="363"/>
      <c r="BD97" s="363"/>
    </row>
    <row r="98" spans="1:56" ht="42" customHeight="1" x14ac:dyDescent="0.2">
      <c r="A98" s="257" t="s">
        <v>340</v>
      </c>
      <c r="B98" s="299" t="s">
        <v>63</v>
      </c>
      <c r="C98" s="299" t="s">
        <v>48</v>
      </c>
      <c r="D98" s="299" t="s">
        <v>48</v>
      </c>
      <c r="E98" s="299"/>
      <c r="F98" s="350" t="s">
        <v>481</v>
      </c>
      <c r="G98" s="350" t="s">
        <v>374</v>
      </c>
      <c r="H98" s="299" t="s">
        <v>71</v>
      </c>
      <c r="I98" s="299">
        <v>2</v>
      </c>
      <c r="J98" s="251">
        <v>1600000</v>
      </c>
      <c r="K98" s="300">
        <f t="shared" si="47"/>
        <v>9.375E-2</v>
      </c>
      <c r="L98" s="311">
        <f>IF(H98="OTRO",(J98*1.05),VLOOKUP((I98&amp;H98),'ESCALAS Salarios'!$D$2:$F$30,3,0))</f>
        <v>1750000</v>
      </c>
      <c r="M98" s="299">
        <v>1</v>
      </c>
      <c r="N98" s="299" t="s">
        <v>485</v>
      </c>
      <c r="O98" s="250">
        <v>45327</v>
      </c>
      <c r="P98" s="316">
        <v>45632</v>
      </c>
      <c r="Q98" s="312">
        <f t="shared" si="50"/>
        <v>17791666.666666664</v>
      </c>
      <c r="R98" s="250"/>
      <c r="S98" s="250"/>
      <c r="T98" s="312">
        <f t="shared" si="42"/>
        <v>0</v>
      </c>
      <c r="U98" s="318">
        <f t="shared" si="43"/>
        <v>10</v>
      </c>
      <c r="V98" s="352">
        <f t="shared" si="44"/>
        <v>17791666.666666664</v>
      </c>
      <c r="W98" s="313">
        <v>16266666.666666666</v>
      </c>
      <c r="X98" s="353">
        <f t="shared" si="45"/>
        <v>9.375E-2</v>
      </c>
      <c r="Y98" s="375">
        <v>79530858</v>
      </c>
      <c r="Z98" s="376" t="s">
        <v>49</v>
      </c>
      <c r="AA98" s="356">
        <f t="shared" si="46"/>
        <v>17791666.666666664</v>
      </c>
      <c r="AB98" s="270" t="s">
        <v>243</v>
      </c>
      <c r="AC98" s="393" t="s">
        <v>1</v>
      </c>
      <c r="AD98" s="358" t="s">
        <v>361</v>
      </c>
      <c r="AE98" s="358" t="s">
        <v>244</v>
      </c>
      <c r="AF98" s="359" t="str">
        <f t="shared" si="57"/>
        <v>CON-095</v>
      </c>
      <c r="AG98" s="270">
        <v>80111600</v>
      </c>
      <c r="AH98" s="249" t="s">
        <v>204</v>
      </c>
      <c r="AI98" s="301">
        <f t="shared" si="58"/>
        <v>45327</v>
      </c>
      <c r="AJ98" s="301">
        <f t="shared" si="48"/>
        <v>45327</v>
      </c>
      <c r="AK98" s="302">
        <f t="shared" si="51"/>
        <v>10</v>
      </c>
      <c r="AL98" s="303" t="s">
        <v>241</v>
      </c>
      <c r="AM98" s="304" t="s">
        <v>242</v>
      </c>
      <c r="AN98" s="305">
        <f t="shared" si="52"/>
        <v>17791666.666666664</v>
      </c>
      <c r="AO98" s="305">
        <f t="shared" si="49"/>
        <v>17791666.666666664</v>
      </c>
      <c r="AP98" s="303" t="s">
        <v>244</v>
      </c>
      <c r="AQ98" s="303" t="s">
        <v>245</v>
      </c>
      <c r="AR98" s="360" t="s">
        <v>246</v>
      </c>
      <c r="AS98" s="306" t="s">
        <v>247</v>
      </c>
      <c r="AT98" s="307" t="str">
        <f t="shared" si="59"/>
        <v>INSTITUTO PEDAGÓGICO NACIONAL</v>
      </c>
      <c r="AU98" s="308" t="s">
        <v>248</v>
      </c>
      <c r="AV98" s="361" t="s">
        <v>249</v>
      </c>
      <c r="AW98" s="303" t="s">
        <v>244</v>
      </c>
      <c r="AX98" s="303" t="s">
        <v>244</v>
      </c>
      <c r="AY98" s="362" t="s">
        <v>250</v>
      </c>
      <c r="AZ98" s="363" t="s">
        <v>251</v>
      </c>
      <c r="BA98" s="363" t="s">
        <v>252</v>
      </c>
      <c r="BB98" s="363" t="s">
        <v>250</v>
      </c>
      <c r="BC98" s="363"/>
      <c r="BD98" s="363"/>
    </row>
    <row r="99" spans="1:56" s="281" customFormat="1" ht="36" hidden="1" x14ac:dyDescent="0.2">
      <c r="A99" s="267" t="s">
        <v>341</v>
      </c>
      <c r="B99" s="258" t="s">
        <v>63</v>
      </c>
      <c r="C99" s="258" t="s">
        <v>48</v>
      </c>
      <c r="D99" s="258" t="s">
        <v>48</v>
      </c>
      <c r="E99" s="258"/>
      <c r="F99" s="258" t="s">
        <v>481</v>
      </c>
      <c r="G99" s="258" t="s">
        <v>374</v>
      </c>
      <c r="H99" s="258" t="s">
        <v>71</v>
      </c>
      <c r="I99" s="258">
        <v>2</v>
      </c>
      <c r="J99" s="282">
        <v>1600000</v>
      </c>
      <c r="K99" s="280">
        <f t="shared" si="47"/>
        <v>9.375E-2</v>
      </c>
      <c r="L99" s="282">
        <f>IF(H99="OTRO",(J99*1.05),VLOOKUP((I99&amp;H99),'ESCALAS Salarios'!$D$2:$F$30,3,0))</f>
        <v>1750000</v>
      </c>
      <c r="M99" s="258">
        <v>1</v>
      </c>
      <c r="N99" s="258" t="s">
        <v>485</v>
      </c>
      <c r="O99" s="283">
        <v>45306</v>
      </c>
      <c r="P99" s="284">
        <v>45632</v>
      </c>
      <c r="Q99" s="282">
        <v>0</v>
      </c>
      <c r="R99" s="283"/>
      <c r="S99" s="283"/>
      <c r="T99" s="282">
        <f t="shared" si="42"/>
        <v>0</v>
      </c>
      <c r="U99" s="285">
        <f t="shared" si="43"/>
        <v>11</v>
      </c>
      <c r="V99" s="282">
        <f t="shared" si="44"/>
        <v>0</v>
      </c>
      <c r="W99" s="282">
        <v>17386666.666666668</v>
      </c>
      <c r="X99" s="280">
        <f t="shared" si="45"/>
        <v>-1</v>
      </c>
      <c r="Y99" s="286">
        <v>1073519478</v>
      </c>
      <c r="Z99" s="287" t="s">
        <v>455</v>
      </c>
      <c r="AA99" s="288">
        <f t="shared" si="46"/>
        <v>0</v>
      </c>
      <c r="AB99" s="258" t="s">
        <v>243</v>
      </c>
      <c r="AC99" s="381" t="s">
        <v>15</v>
      </c>
      <c r="AD99" s="290" t="s">
        <v>244</v>
      </c>
      <c r="AE99" s="290" t="s">
        <v>244</v>
      </c>
      <c r="AF99" s="291" t="str">
        <f t="shared" si="57"/>
        <v>CON-096</v>
      </c>
      <c r="AG99" s="258">
        <v>80111600</v>
      </c>
      <c r="AH99" s="292" t="s">
        <v>205</v>
      </c>
      <c r="AI99" s="260">
        <f t="shared" si="58"/>
        <v>45306</v>
      </c>
      <c r="AJ99" s="260">
        <f t="shared" si="48"/>
        <v>45306</v>
      </c>
      <c r="AK99" s="261">
        <f t="shared" si="51"/>
        <v>11</v>
      </c>
      <c r="AL99" s="262" t="s">
        <v>241</v>
      </c>
      <c r="AM99" s="263" t="s">
        <v>242</v>
      </c>
      <c r="AN99" s="264">
        <f t="shared" si="52"/>
        <v>0</v>
      </c>
      <c r="AO99" s="264">
        <f t="shared" si="49"/>
        <v>0</v>
      </c>
      <c r="AP99" s="262" t="s">
        <v>244</v>
      </c>
      <c r="AQ99" s="262" t="s">
        <v>245</v>
      </c>
      <c r="AR99" s="293" t="s">
        <v>246</v>
      </c>
      <c r="AS99" s="265" t="s">
        <v>247</v>
      </c>
      <c r="AT99" s="258" t="str">
        <f t="shared" si="59"/>
        <v>INSTITUTO PEDAGÓGICO NACIONAL</v>
      </c>
      <c r="AU99" s="262" t="s">
        <v>248</v>
      </c>
      <c r="AV99" s="294" t="s">
        <v>249</v>
      </c>
      <c r="AW99" s="262" t="s">
        <v>244</v>
      </c>
      <c r="AX99" s="262" t="s">
        <v>244</v>
      </c>
      <c r="AY99" s="295" t="s">
        <v>250</v>
      </c>
      <c r="AZ99" s="296" t="s">
        <v>251</v>
      </c>
      <c r="BA99" s="296" t="s">
        <v>252</v>
      </c>
      <c r="BB99" s="296" t="s">
        <v>250</v>
      </c>
      <c r="BC99" s="296"/>
      <c r="BD99" s="296"/>
    </row>
    <row r="100" spans="1:56" ht="36" x14ac:dyDescent="0.2">
      <c r="A100" s="257" t="s">
        <v>342</v>
      </c>
      <c r="B100" s="299" t="s">
        <v>63</v>
      </c>
      <c r="C100" s="299" t="s">
        <v>48</v>
      </c>
      <c r="D100" s="299" t="s">
        <v>48</v>
      </c>
      <c r="E100" s="299"/>
      <c r="F100" s="350" t="s">
        <v>480</v>
      </c>
      <c r="G100" s="350" t="s">
        <v>374</v>
      </c>
      <c r="H100" s="299" t="s">
        <v>70</v>
      </c>
      <c r="I100" s="299">
        <v>1</v>
      </c>
      <c r="J100" s="251">
        <v>2200000</v>
      </c>
      <c r="K100" s="300">
        <f t="shared" si="47"/>
        <v>4.5454545454545414E-2</v>
      </c>
      <c r="L100" s="311">
        <f>IF(H100="OTRO",(J100*1.05),VLOOKUP((I100&amp;H100),'ESCALAS Salarios'!$D$2:$F$30,3,0))</f>
        <v>2300000</v>
      </c>
      <c r="M100" s="299">
        <v>1</v>
      </c>
      <c r="N100" s="299" t="s">
        <v>485</v>
      </c>
      <c r="O100" s="250">
        <v>45327</v>
      </c>
      <c r="P100" s="316">
        <v>45632</v>
      </c>
      <c r="Q100" s="312">
        <f t="shared" si="50"/>
        <v>23383333.333333332</v>
      </c>
      <c r="R100" s="250"/>
      <c r="S100" s="250"/>
      <c r="T100" s="312">
        <f t="shared" si="42"/>
        <v>0</v>
      </c>
      <c r="U100" s="318">
        <f t="shared" si="43"/>
        <v>10</v>
      </c>
      <c r="V100" s="352">
        <f t="shared" si="44"/>
        <v>23383333.333333332</v>
      </c>
      <c r="W100" s="313">
        <v>22733333.333333336</v>
      </c>
      <c r="X100" s="353">
        <f t="shared" si="45"/>
        <v>2.8592375366568668E-2</v>
      </c>
      <c r="Y100" s="375">
        <v>41242571</v>
      </c>
      <c r="Z100" s="376" t="s">
        <v>456</v>
      </c>
      <c r="AA100" s="356">
        <f t="shared" si="46"/>
        <v>23383333.333333332</v>
      </c>
      <c r="AB100" s="270" t="s">
        <v>243</v>
      </c>
      <c r="AC100" s="393" t="s">
        <v>1</v>
      </c>
      <c r="AD100" s="358" t="s">
        <v>361</v>
      </c>
      <c r="AE100" s="358" t="s">
        <v>244</v>
      </c>
      <c r="AF100" s="359" t="str">
        <f t="shared" si="57"/>
        <v>CON-097</v>
      </c>
      <c r="AG100" s="270">
        <v>80111600</v>
      </c>
      <c r="AH100" s="249" t="s">
        <v>206</v>
      </c>
      <c r="AI100" s="301">
        <f t="shared" si="58"/>
        <v>45327</v>
      </c>
      <c r="AJ100" s="301">
        <f t="shared" si="48"/>
        <v>45327</v>
      </c>
      <c r="AK100" s="302">
        <f t="shared" si="51"/>
        <v>10</v>
      </c>
      <c r="AL100" s="303" t="s">
        <v>241</v>
      </c>
      <c r="AM100" s="304" t="s">
        <v>242</v>
      </c>
      <c r="AN100" s="305">
        <f t="shared" si="52"/>
        <v>23383333.333333332</v>
      </c>
      <c r="AO100" s="305">
        <f t="shared" si="49"/>
        <v>23383333.333333332</v>
      </c>
      <c r="AP100" s="303" t="s">
        <v>244</v>
      </c>
      <c r="AQ100" s="303" t="s">
        <v>245</v>
      </c>
      <c r="AR100" s="360" t="s">
        <v>246</v>
      </c>
      <c r="AS100" s="306" t="s">
        <v>247</v>
      </c>
      <c r="AT100" s="307" t="str">
        <f t="shared" si="59"/>
        <v>INSTITUTO PEDAGÓGICO NACIONAL</v>
      </c>
      <c r="AU100" s="308" t="s">
        <v>248</v>
      </c>
      <c r="AV100" s="361" t="s">
        <v>249</v>
      </c>
      <c r="AW100" s="303" t="s">
        <v>244</v>
      </c>
      <c r="AX100" s="303" t="s">
        <v>244</v>
      </c>
      <c r="AY100" s="362" t="s">
        <v>250</v>
      </c>
      <c r="AZ100" s="363" t="s">
        <v>251</v>
      </c>
      <c r="BA100" s="363" t="s">
        <v>252</v>
      </c>
      <c r="BB100" s="363" t="s">
        <v>250</v>
      </c>
      <c r="BC100" s="363"/>
      <c r="BD100" s="363"/>
    </row>
    <row r="101" spans="1:56" ht="48" x14ac:dyDescent="0.2">
      <c r="A101" s="257" t="s">
        <v>343</v>
      </c>
      <c r="B101" s="299" t="s">
        <v>763</v>
      </c>
      <c r="C101" s="299" t="s">
        <v>25</v>
      </c>
      <c r="D101" s="299" t="s">
        <v>733</v>
      </c>
      <c r="E101" s="299"/>
      <c r="F101" s="350" t="s">
        <v>480</v>
      </c>
      <c r="G101" s="350" t="s">
        <v>374</v>
      </c>
      <c r="H101" s="299" t="s">
        <v>70</v>
      </c>
      <c r="I101" s="299">
        <v>3</v>
      </c>
      <c r="J101" s="251">
        <v>2200000</v>
      </c>
      <c r="K101" s="300">
        <f t="shared" si="47"/>
        <v>0.18181818181818188</v>
      </c>
      <c r="L101" s="311">
        <f>IF(H101="OTRO",(J101*1.05),VLOOKUP((I101&amp;H101),'ESCALAS Salarios'!$D$2:$F$30,3,0))</f>
        <v>2600000</v>
      </c>
      <c r="M101" s="299">
        <v>1</v>
      </c>
      <c r="N101" s="299" t="s">
        <v>485</v>
      </c>
      <c r="O101" s="250">
        <v>45463</v>
      </c>
      <c r="P101" s="316">
        <v>45656</v>
      </c>
      <c r="Q101" s="312">
        <f t="shared" si="50"/>
        <v>16726666.666666668</v>
      </c>
      <c r="R101" s="357"/>
      <c r="S101" s="357"/>
      <c r="T101" s="312">
        <f t="shared" si="42"/>
        <v>0</v>
      </c>
      <c r="U101" s="318">
        <f t="shared" si="43"/>
        <v>6</v>
      </c>
      <c r="V101" s="352">
        <f t="shared" si="44"/>
        <v>16726666.666666668</v>
      </c>
      <c r="W101" s="313">
        <v>22733333.333333336</v>
      </c>
      <c r="X101" s="353">
        <f t="shared" si="45"/>
        <v>-0.26422287390029331</v>
      </c>
      <c r="Y101" s="375">
        <v>21018921</v>
      </c>
      <c r="Z101" s="376" t="s">
        <v>457</v>
      </c>
      <c r="AA101" s="356">
        <f t="shared" si="46"/>
        <v>16726666.666666668</v>
      </c>
      <c r="AB101" s="270" t="s">
        <v>243</v>
      </c>
      <c r="AC101" s="393" t="s">
        <v>1</v>
      </c>
      <c r="AD101" s="358" t="s">
        <v>361</v>
      </c>
      <c r="AE101" s="358" t="s">
        <v>244</v>
      </c>
      <c r="AF101" s="359" t="str">
        <f t="shared" si="57"/>
        <v>CON-098</v>
      </c>
      <c r="AG101" s="270">
        <v>80111600</v>
      </c>
      <c r="AH101" s="249" t="s">
        <v>736</v>
      </c>
      <c r="AI101" s="301">
        <f t="shared" si="58"/>
        <v>45463</v>
      </c>
      <c r="AJ101" s="301">
        <f t="shared" si="48"/>
        <v>45463</v>
      </c>
      <c r="AK101" s="302">
        <f t="shared" si="51"/>
        <v>6</v>
      </c>
      <c r="AL101" s="303" t="s">
        <v>241</v>
      </c>
      <c r="AM101" s="304" t="s">
        <v>242</v>
      </c>
      <c r="AN101" s="305">
        <f t="shared" si="52"/>
        <v>16726666.666666668</v>
      </c>
      <c r="AO101" s="305">
        <f t="shared" si="49"/>
        <v>16726666.666666668</v>
      </c>
      <c r="AP101" s="303" t="s">
        <v>244</v>
      </c>
      <c r="AQ101" s="303" t="s">
        <v>245</v>
      </c>
      <c r="AR101" s="360" t="s">
        <v>246</v>
      </c>
      <c r="AS101" s="306" t="s">
        <v>247</v>
      </c>
      <c r="AT101" s="307" t="str">
        <f t="shared" si="59"/>
        <v>GRUPO INTERNO DE TRABAJO DE GESTIÓN DOCUMENTAL</v>
      </c>
      <c r="AU101" s="308" t="s">
        <v>248</v>
      </c>
      <c r="AV101" s="361" t="s">
        <v>249</v>
      </c>
      <c r="AW101" s="303" t="s">
        <v>244</v>
      </c>
      <c r="AX101" s="303" t="s">
        <v>244</v>
      </c>
      <c r="AY101" s="362" t="s">
        <v>250</v>
      </c>
      <c r="AZ101" s="363" t="s">
        <v>251</v>
      </c>
      <c r="BA101" s="363" t="s">
        <v>252</v>
      </c>
      <c r="BB101" s="363" t="s">
        <v>250</v>
      </c>
      <c r="BC101" s="363"/>
      <c r="BD101" s="363"/>
    </row>
    <row r="102" spans="1:56" s="281" customFormat="1" ht="41.25" hidden="1" customHeight="1" x14ac:dyDescent="0.2">
      <c r="A102" s="267" t="s">
        <v>344</v>
      </c>
      <c r="B102" s="258" t="s">
        <v>90</v>
      </c>
      <c r="C102" s="258" t="s">
        <v>78</v>
      </c>
      <c r="D102" s="258" t="s">
        <v>91</v>
      </c>
      <c r="E102" s="258"/>
      <c r="F102" s="258" t="s">
        <v>383</v>
      </c>
      <c r="G102" s="258" t="s">
        <v>374</v>
      </c>
      <c r="H102" s="258" t="s">
        <v>67</v>
      </c>
      <c r="I102" s="258">
        <v>6</v>
      </c>
      <c r="J102" s="282">
        <v>6000000</v>
      </c>
      <c r="K102" s="280">
        <f t="shared" si="47"/>
        <v>3.3333333333333437E-2</v>
      </c>
      <c r="L102" s="282">
        <f>IF(H102="OTRO",(J102*1.05),VLOOKUP((I102&amp;H102),'ESCALAS Salarios'!$D$2:$F$30,3,0))</f>
        <v>6200000</v>
      </c>
      <c r="M102" s="258">
        <v>1</v>
      </c>
      <c r="N102" s="258" t="s">
        <v>485</v>
      </c>
      <c r="O102" s="283">
        <v>45327</v>
      </c>
      <c r="P102" s="284">
        <v>45634</v>
      </c>
      <c r="Q102" s="282"/>
      <c r="R102" s="289"/>
      <c r="S102" s="289"/>
      <c r="T102" s="282">
        <f t="shared" si="42"/>
        <v>0</v>
      </c>
      <c r="U102" s="285">
        <f t="shared" si="43"/>
        <v>10</v>
      </c>
      <c r="V102" s="282">
        <f t="shared" si="44"/>
        <v>0</v>
      </c>
      <c r="W102" s="282">
        <v>61000000</v>
      </c>
      <c r="X102" s="280">
        <f t="shared" si="45"/>
        <v>-1</v>
      </c>
      <c r="Y102" s="287">
        <v>49778517</v>
      </c>
      <c r="Z102" s="287" t="s">
        <v>458</v>
      </c>
      <c r="AA102" s="288">
        <f t="shared" si="46"/>
        <v>0</v>
      </c>
      <c r="AB102" s="258" t="s">
        <v>243</v>
      </c>
      <c r="AC102" s="381" t="s">
        <v>1</v>
      </c>
      <c r="AD102" s="381" t="s">
        <v>361</v>
      </c>
      <c r="AE102" s="290" t="s">
        <v>244</v>
      </c>
      <c r="AF102" s="291" t="str">
        <f t="shared" si="57"/>
        <v>CON-099</v>
      </c>
      <c r="AG102" s="258">
        <v>80111600</v>
      </c>
      <c r="AH102" s="292" t="s">
        <v>207</v>
      </c>
      <c r="AI102" s="260">
        <f t="shared" si="58"/>
        <v>45327</v>
      </c>
      <c r="AJ102" s="260">
        <f t="shared" si="48"/>
        <v>45327</v>
      </c>
      <c r="AK102" s="261">
        <f t="shared" si="51"/>
        <v>10</v>
      </c>
      <c r="AL102" s="262" t="s">
        <v>241</v>
      </c>
      <c r="AM102" s="263" t="s">
        <v>242</v>
      </c>
      <c r="AN102" s="264">
        <f t="shared" si="52"/>
        <v>0</v>
      </c>
      <c r="AO102" s="264">
        <f t="shared" si="49"/>
        <v>0</v>
      </c>
      <c r="AP102" s="262" t="s">
        <v>244</v>
      </c>
      <c r="AQ102" s="262" t="s">
        <v>245</v>
      </c>
      <c r="AR102" s="293" t="s">
        <v>246</v>
      </c>
      <c r="AS102" s="265" t="s">
        <v>247</v>
      </c>
      <c r="AT102" s="258" t="str">
        <f t="shared" si="59"/>
        <v>SUBDIRECCIÓN DE ASESORÍAS Y EXTENSIÓN</v>
      </c>
      <c r="AU102" s="262" t="s">
        <v>248</v>
      </c>
      <c r="AV102" s="294" t="s">
        <v>249</v>
      </c>
      <c r="AW102" s="262" t="s">
        <v>244</v>
      </c>
      <c r="AX102" s="262" t="s">
        <v>244</v>
      </c>
      <c r="AY102" s="295" t="s">
        <v>250</v>
      </c>
      <c r="AZ102" s="296" t="s">
        <v>251</v>
      </c>
      <c r="BA102" s="296" t="s">
        <v>252</v>
      </c>
      <c r="BB102" s="296" t="s">
        <v>250</v>
      </c>
      <c r="BC102" s="296"/>
      <c r="BD102" s="296"/>
    </row>
    <row r="103" spans="1:56" s="281" customFormat="1" ht="48" hidden="1" x14ac:dyDescent="0.2">
      <c r="A103" s="267" t="s">
        <v>345</v>
      </c>
      <c r="B103" s="258" t="s">
        <v>90</v>
      </c>
      <c r="C103" s="258" t="s">
        <v>78</v>
      </c>
      <c r="D103" s="258" t="s">
        <v>91</v>
      </c>
      <c r="E103" s="258"/>
      <c r="F103" s="258" t="s">
        <v>383</v>
      </c>
      <c r="G103" s="258" t="s">
        <v>374</v>
      </c>
      <c r="H103" s="258" t="s">
        <v>67</v>
      </c>
      <c r="I103" s="258">
        <v>3</v>
      </c>
      <c r="J103" s="282">
        <v>5000000</v>
      </c>
      <c r="K103" s="280">
        <f t="shared" si="47"/>
        <v>7.0000000000000062E-2</v>
      </c>
      <c r="L103" s="282">
        <f>IF(H103="OTRO",(J103*1.05),VLOOKUP((I103&amp;H103),'ESCALAS Salarios'!$D$2:$F$30,3,0))</f>
        <v>5350000</v>
      </c>
      <c r="M103" s="258">
        <v>1</v>
      </c>
      <c r="N103" s="258" t="s">
        <v>485</v>
      </c>
      <c r="O103" s="283">
        <v>45383</v>
      </c>
      <c r="P103" s="284">
        <v>45634</v>
      </c>
      <c r="Q103" s="282"/>
      <c r="R103" s="289"/>
      <c r="S103" s="289"/>
      <c r="T103" s="282">
        <f t="shared" si="42"/>
        <v>0</v>
      </c>
      <c r="U103" s="285">
        <v>8</v>
      </c>
      <c r="V103" s="282">
        <f t="shared" si="44"/>
        <v>0</v>
      </c>
      <c r="W103" s="282">
        <v>50833333.333333328</v>
      </c>
      <c r="X103" s="280">
        <f t="shared" si="45"/>
        <v>-1</v>
      </c>
      <c r="Y103" s="287">
        <v>52356564</v>
      </c>
      <c r="Z103" s="287" t="s">
        <v>459</v>
      </c>
      <c r="AA103" s="288">
        <f t="shared" si="46"/>
        <v>0</v>
      </c>
      <c r="AB103" s="258" t="s">
        <v>243</v>
      </c>
      <c r="AC103" s="381" t="s">
        <v>1</v>
      </c>
      <c r="AD103" s="381" t="s">
        <v>361</v>
      </c>
      <c r="AE103" s="290" t="s">
        <v>244</v>
      </c>
      <c r="AF103" s="291" t="str">
        <f t="shared" si="57"/>
        <v>CON-100</v>
      </c>
      <c r="AG103" s="258">
        <v>80111600</v>
      </c>
      <c r="AH103" s="292" t="s">
        <v>208</v>
      </c>
      <c r="AI103" s="260" t="s">
        <v>264</v>
      </c>
      <c r="AJ103" s="260" t="str">
        <f t="shared" si="48"/>
        <v>marzo</v>
      </c>
      <c r="AK103" s="261">
        <f t="shared" si="51"/>
        <v>8</v>
      </c>
      <c r="AL103" s="262" t="s">
        <v>241</v>
      </c>
      <c r="AM103" s="263" t="s">
        <v>242</v>
      </c>
      <c r="AN103" s="264">
        <f t="shared" si="52"/>
        <v>0</v>
      </c>
      <c r="AO103" s="264">
        <f t="shared" si="49"/>
        <v>0</v>
      </c>
      <c r="AP103" s="262" t="s">
        <v>244</v>
      </c>
      <c r="AQ103" s="262" t="s">
        <v>245</v>
      </c>
      <c r="AR103" s="293" t="s">
        <v>246</v>
      </c>
      <c r="AS103" s="265" t="s">
        <v>247</v>
      </c>
      <c r="AT103" s="258" t="str">
        <f t="shared" si="59"/>
        <v>SUBDIRECCIÓN DE ASESORÍAS Y EXTENSIÓN</v>
      </c>
      <c r="AU103" s="262" t="s">
        <v>248</v>
      </c>
      <c r="AV103" s="294" t="s">
        <v>249</v>
      </c>
      <c r="AW103" s="262" t="s">
        <v>244</v>
      </c>
      <c r="AX103" s="262" t="s">
        <v>244</v>
      </c>
      <c r="AY103" s="295" t="s">
        <v>250</v>
      </c>
      <c r="AZ103" s="296" t="s">
        <v>251</v>
      </c>
      <c r="BA103" s="296" t="s">
        <v>252</v>
      </c>
      <c r="BB103" s="296" t="s">
        <v>250</v>
      </c>
      <c r="BC103" s="296"/>
      <c r="BD103" s="296"/>
    </row>
    <row r="104" spans="1:56" s="281" customFormat="1" ht="48" hidden="1" x14ac:dyDescent="0.2">
      <c r="A104" s="267" t="s">
        <v>634</v>
      </c>
      <c r="B104" s="258" t="s">
        <v>90</v>
      </c>
      <c r="C104" s="258" t="s">
        <v>78</v>
      </c>
      <c r="D104" s="258" t="s">
        <v>91</v>
      </c>
      <c r="E104" s="258"/>
      <c r="F104" s="258" t="s">
        <v>383</v>
      </c>
      <c r="G104" s="258" t="s">
        <v>374</v>
      </c>
      <c r="H104" s="258" t="s">
        <v>67</v>
      </c>
      <c r="I104" s="258">
        <v>3</v>
      </c>
      <c r="J104" s="282">
        <v>5000000</v>
      </c>
      <c r="K104" s="280">
        <f t="shared" si="47"/>
        <v>7.0000000000000062E-2</v>
      </c>
      <c r="L104" s="282">
        <f>IF(H104="OTRO",(J104*1.05),VLOOKUP((I104&amp;H104),'ESCALAS Salarios'!$D$2:$F$30,3,0))</f>
        <v>5350000</v>
      </c>
      <c r="M104" s="258">
        <v>1</v>
      </c>
      <c r="N104" s="258" t="s">
        <v>485</v>
      </c>
      <c r="O104" s="283">
        <v>45327</v>
      </c>
      <c r="P104" s="284">
        <v>45634</v>
      </c>
      <c r="Q104" s="282"/>
      <c r="R104" s="289"/>
      <c r="S104" s="289"/>
      <c r="T104" s="282">
        <f t="shared" si="42"/>
        <v>0</v>
      </c>
      <c r="U104" s="285">
        <f t="shared" si="43"/>
        <v>10</v>
      </c>
      <c r="V104" s="282">
        <f t="shared" si="44"/>
        <v>0</v>
      </c>
      <c r="W104" s="282">
        <v>50833333.333333328</v>
      </c>
      <c r="X104" s="280">
        <f t="shared" si="45"/>
        <v>-1</v>
      </c>
      <c r="Y104" s="287">
        <v>52211167</v>
      </c>
      <c r="Z104" s="287" t="s">
        <v>460</v>
      </c>
      <c r="AA104" s="288">
        <f t="shared" si="46"/>
        <v>0</v>
      </c>
      <c r="AB104" s="258" t="s">
        <v>243</v>
      </c>
      <c r="AC104" s="381" t="s">
        <v>1</v>
      </c>
      <c r="AD104" s="381" t="s">
        <v>361</v>
      </c>
      <c r="AE104" s="290" t="s">
        <v>244</v>
      </c>
      <c r="AF104" s="291" t="str">
        <f t="shared" si="57"/>
        <v>CON-101</v>
      </c>
      <c r="AG104" s="258">
        <v>80111600</v>
      </c>
      <c r="AH104" s="292" t="s">
        <v>209</v>
      </c>
      <c r="AI104" s="260">
        <f t="shared" si="58"/>
        <v>45327</v>
      </c>
      <c r="AJ104" s="260">
        <f t="shared" si="48"/>
        <v>45327</v>
      </c>
      <c r="AK104" s="261">
        <f t="shared" si="51"/>
        <v>10</v>
      </c>
      <c r="AL104" s="262" t="s">
        <v>241</v>
      </c>
      <c r="AM104" s="263" t="s">
        <v>242</v>
      </c>
      <c r="AN104" s="264">
        <f t="shared" si="52"/>
        <v>0</v>
      </c>
      <c r="AO104" s="264">
        <f t="shared" si="49"/>
        <v>0</v>
      </c>
      <c r="AP104" s="262" t="s">
        <v>244</v>
      </c>
      <c r="AQ104" s="262" t="s">
        <v>245</v>
      </c>
      <c r="AR104" s="293" t="s">
        <v>246</v>
      </c>
      <c r="AS104" s="265" t="s">
        <v>247</v>
      </c>
      <c r="AT104" s="258" t="str">
        <f t="shared" si="59"/>
        <v>SUBDIRECCIÓN DE ASESORÍAS Y EXTENSIÓN</v>
      </c>
      <c r="AU104" s="262" t="s">
        <v>248</v>
      </c>
      <c r="AV104" s="294" t="s">
        <v>249</v>
      </c>
      <c r="AW104" s="262" t="s">
        <v>244</v>
      </c>
      <c r="AX104" s="262" t="s">
        <v>244</v>
      </c>
      <c r="AY104" s="295" t="s">
        <v>250</v>
      </c>
      <c r="AZ104" s="296" t="s">
        <v>251</v>
      </c>
      <c r="BA104" s="296" t="s">
        <v>252</v>
      </c>
      <c r="BB104" s="296" t="s">
        <v>250</v>
      </c>
      <c r="BC104" s="296"/>
      <c r="BD104" s="296"/>
    </row>
    <row r="105" spans="1:56" ht="36" x14ac:dyDescent="0.2">
      <c r="A105" s="257" t="s">
        <v>346</v>
      </c>
      <c r="B105" s="299" t="s">
        <v>90</v>
      </c>
      <c r="C105" s="299" t="s">
        <v>78</v>
      </c>
      <c r="D105" s="299" t="s">
        <v>375</v>
      </c>
      <c r="E105" s="299"/>
      <c r="F105" s="350" t="s">
        <v>383</v>
      </c>
      <c r="G105" s="350" t="s">
        <v>374</v>
      </c>
      <c r="H105" s="299" t="s">
        <v>473</v>
      </c>
      <c r="I105" s="299"/>
      <c r="J105" s="251">
        <f>1700000000/108/8</f>
        <v>1967592.5925925926</v>
      </c>
      <c r="K105" s="300">
        <f t="shared" si="47"/>
        <v>5.0000000000000044E-2</v>
      </c>
      <c r="L105" s="311">
        <f>IF(H105="OTRO",(J105*1.05),VLOOKUP((I105&amp;H105),'ESCALAS Salarios'!$D$2:$F$30,3,0))</f>
        <v>2065972.2222222222</v>
      </c>
      <c r="M105" s="299">
        <v>108</v>
      </c>
      <c r="N105" s="299" t="s">
        <v>485</v>
      </c>
      <c r="O105" s="250">
        <v>45327</v>
      </c>
      <c r="P105" s="377">
        <v>45463</v>
      </c>
      <c r="Q105" s="312">
        <v>918460858</v>
      </c>
      <c r="R105" s="250">
        <v>45505</v>
      </c>
      <c r="S105" s="377">
        <v>45626</v>
      </c>
      <c r="T105" s="312"/>
      <c r="U105" s="318">
        <f t="shared" si="43"/>
        <v>9</v>
      </c>
      <c r="V105" s="352">
        <v>918460858</v>
      </c>
      <c r="W105" s="356">
        <v>1750000000</v>
      </c>
      <c r="X105" s="353">
        <f t="shared" si="45"/>
        <v>-0.47516522400000005</v>
      </c>
      <c r="Y105" s="356"/>
      <c r="Z105" s="355" t="s">
        <v>376</v>
      </c>
      <c r="AA105" s="356">
        <f t="shared" si="46"/>
        <v>918460858</v>
      </c>
      <c r="AB105" s="382" t="s">
        <v>243</v>
      </c>
      <c r="AC105" s="393" t="s">
        <v>373</v>
      </c>
      <c r="AD105" s="383" t="s">
        <v>361</v>
      </c>
      <c r="AE105" s="358" t="s">
        <v>244</v>
      </c>
      <c r="AF105" s="359" t="str">
        <f t="shared" si="57"/>
        <v>CON-102</v>
      </c>
      <c r="AG105" s="382">
        <v>80111600</v>
      </c>
      <c r="AH105" s="384" t="s">
        <v>468</v>
      </c>
      <c r="AI105" s="301">
        <f t="shared" si="58"/>
        <v>45327</v>
      </c>
      <c r="AJ105" s="301">
        <f t="shared" si="48"/>
        <v>45327</v>
      </c>
      <c r="AK105" s="302">
        <f t="shared" si="51"/>
        <v>9</v>
      </c>
      <c r="AL105" s="252" t="s">
        <v>241</v>
      </c>
      <c r="AM105" s="304" t="s">
        <v>242</v>
      </c>
      <c r="AN105" s="305">
        <f t="shared" si="52"/>
        <v>918460858</v>
      </c>
      <c r="AO105" s="305">
        <f t="shared" si="49"/>
        <v>918460858</v>
      </c>
      <c r="AP105" s="303" t="s">
        <v>244</v>
      </c>
      <c r="AQ105" s="303" t="s">
        <v>245</v>
      </c>
      <c r="AR105" s="360" t="s">
        <v>246</v>
      </c>
      <c r="AS105" s="306" t="s">
        <v>247</v>
      </c>
      <c r="AT105" s="253" t="s">
        <v>372</v>
      </c>
      <c r="AU105" s="308" t="s">
        <v>248</v>
      </c>
      <c r="AV105" s="361" t="s">
        <v>249</v>
      </c>
      <c r="AW105" s="254" t="s">
        <v>244</v>
      </c>
      <c r="AX105" s="254" t="s">
        <v>244</v>
      </c>
      <c r="AY105" s="385" t="s">
        <v>250</v>
      </c>
      <c r="AZ105" s="386" t="s">
        <v>251</v>
      </c>
      <c r="BA105" s="386" t="s">
        <v>252</v>
      </c>
      <c r="BB105" s="386" t="s">
        <v>250</v>
      </c>
      <c r="BC105" s="386"/>
      <c r="BD105" s="386"/>
    </row>
    <row r="106" spans="1:56" ht="48" x14ac:dyDescent="0.2">
      <c r="A106" s="257" t="s">
        <v>635</v>
      </c>
      <c r="B106" s="299" t="s">
        <v>90</v>
      </c>
      <c r="C106" s="299" t="s">
        <v>78</v>
      </c>
      <c r="D106" s="299" t="s">
        <v>372</v>
      </c>
      <c r="E106" s="299"/>
      <c r="F106" s="350" t="s">
        <v>481</v>
      </c>
      <c r="G106" s="350" t="s">
        <v>374</v>
      </c>
      <c r="H106" s="299" t="s">
        <v>71</v>
      </c>
      <c r="I106" s="299">
        <v>1</v>
      </c>
      <c r="J106" s="251">
        <v>1600000</v>
      </c>
      <c r="K106" s="300">
        <f t="shared" si="47"/>
        <v>5.0000000000000044E-2</v>
      </c>
      <c r="L106" s="311">
        <v>1680000</v>
      </c>
      <c r="M106" s="299">
        <v>1</v>
      </c>
      <c r="N106" s="299" t="s">
        <v>485</v>
      </c>
      <c r="O106" s="250">
        <v>45327</v>
      </c>
      <c r="P106" s="316">
        <v>45639</v>
      </c>
      <c r="Q106" s="312">
        <v>17528000</v>
      </c>
      <c r="R106" s="250"/>
      <c r="S106" s="377"/>
      <c r="T106" s="312">
        <f t="shared" ref="T106:T107" si="61">IF($N106="MENSUAL",ROUND((((S106-R106))/30),0)*$L106*$M106,((S106-R106)/30)*$L106*$M106)</f>
        <v>0</v>
      </c>
      <c r="U106" s="318">
        <v>11</v>
      </c>
      <c r="V106" s="352">
        <f>+Q106+T106</f>
        <v>17528000</v>
      </c>
      <c r="W106" s="356">
        <v>16000000</v>
      </c>
      <c r="X106" s="353">
        <f t="shared" ref="X106:X107" si="62">IF(W106="",1,((V106/W106)-1))</f>
        <v>9.5499999999999918E-2</v>
      </c>
      <c r="Y106" s="356"/>
      <c r="Z106" s="355"/>
      <c r="AA106" s="356">
        <f>V106</f>
        <v>17528000</v>
      </c>
      <c r="AB106" s="270" t="s">
        <v>243</v>
      </c>
      <c r="AC106" s="393" t="s">
        <v>378</v>
      </c>
      <c r="AD106" s="358" t="s">
        <v>361</v>
      </c>
      <c r="AE106" s="358" t="s">
        <v>244</v>
      </c>
      <c r="AF106" s="359" t="str">
        <f t="shared" si="57"/>
        <v>CON-103</v>
      </c>
      <c r="AG106" s="270">
        <v>80111600</v>
      </c>
      <c r="AH106" s="384" t="s">
        <v>680</v>
      </c>
      <c r="AI106" s="301">
        <f t="shared" si="58"/>
        <v>45327</v>
      </c>
      <c r="AJ106" s="301">
        <f t="shared" si="48"/>
        <v>45327</v>
      </c>
      <c r="AK106" s="302">
        <f t="shared" si="51"/>
        <v>11</v>
      </c>
      <c r="AL106" s="303" t="s">
        <v>241</v>
      </c>
      <c r="AM106" s="304" t="s">
        <v>242</v>
      </c>
      <c r="AN106" s="305">
        <f t="shared" si="52"/>
        <v>17528000</v>
      </c>
      <c r="AO106" s="305">
        <f t="shared" si="49"/>
        <v>17528000</v>
      </c>
      <c r="AP106" s="303" t="s">
        <v>244</v>
      </c>
      <c r="AQ106" s="303" t="s">
        <v>245</v>
      </c>
      <c r="AR106" s="360" t="s">
        <v>246</v>
      </c>
      <c r="AS106" s="306" t="s">
        <v>247</v>
      </c>
      <c r="AT106" s="307" t="s">
        <v>372</v>
      </c>
      <c r="AU106" s="308" t="s">
        <v>248</v>
      </c>
      <c r="AV106" s="361" t="s">
        <v>249</v>
      </c>
      <c r="AW106" s="303" t="s">
        <v>244</v>
      </c>
      <c r="AX106" s="303" t="s">
        <v>244</v>
      </c>
      <c r="AY106" s="362" t="s">
        <v>250</v>
      </c>
      <c r="AZ106" s="363" t="s">
        <v>251</v>
      </c>
      <c r="BA106" s="363" t="s">
        <v>252</v>
      </c>
      <c r="BB106" s="363" t="s">
        <v>250</v>
      </c>
      <c r="BC106" s="363"/>
      <c r="BD106" s="363"/>
    </row>
    <row r="107" spans="1:56" ht="84" x14ac:dyDescent="0.2">
      <c r="A107" s="257" t="s">
        <v>347</v>
      </c>
      <c r="B107" s="299" t="s">
        <v>90</v>
      </c>
      <c r="C107" s="299" t="s">
        <v>78</v>
      </c>
      <c r="D107" s="299" t="s">
        <v>372</v>
      </c>
      <c r="E107" s="299"/>
      <c r="F107" s="350" t="s">
        <v>480</v>
      </c>
      <c r="G107" s="350" t="s">
        <v>374</v>
      </c>
      <c r="H107" s="299" t="s">
        <v>473</v>
      </c>
      <c r="I107" s="299"/>
      <c r="J107" s="251">
        <v>717210</v>
      </c>
      <c r="K107" s="300">
        <f t="shared" si="47"/>
        <v>5.0000000000000044E-2</v>
      </c>
      <c r="L107" s="311">
        <f>IF(H107="OTRO",(J107*1.05),VLOOKUP((I107&amp;H107),'ESCALAS Salarios'!$D$2:$F$30,3,0))</f>
        <v>753070.5</v>
      </c>
      <c r="M107" s="299">
        <v>1</v>
      </c>
      <c r="N107" s="299" t="s">
        <v>485</v>
      </c>
      <c r="O107" s="250">
        <v>45339</v>
      </c>
      <c r="P107" s="316">
        <v>45473</v>
      </c>
      <c r="Q107" s="312">
        <v>3765355</v>
      </c>
      <c r="R107" s="250"/>
      <c r="S107" s="377"/>
      <c r="T107" s="312">
        <f t="shared" si="61"/>
        <v>0</v>
      </c>
      <c r="U107" s="318">
        <f t="shared" ref="U107" si="63">ROUND((((P107-O107)+(S107-R107))/30),0)</f>
        <v>4</v>
      </c>
      <c r="V107" s="352">
        <v>3765355</v>
      </c>
      <c r="W107" s="356">
        <v>6454890</v>
      </c>
      <c r="X107" s="353">
        <f t="shared" si="62"/>
        <v>-0.4166662793633974</v>
      </c>
      <c r="Y107" s="356"/>
      <c r="Z107" s="355"/>
      <c r="AA107" s="356"/>
      <c r="AB107" s="270" t="s">
        <v>243</v>
      </c>
      <c r="AC107" s="393" t="s">
        <v>373</v>
      </c>
      <c r="AD107" s="358" t="s">
        <v>361</v>
      </c>
      <c r="AE107" s="358" t="s">
        <v>244</v>
      </c>
      <c r="AF107" s="359" t="str">
        <f t="shared" si="57"/>
        <v>CON-104</v>
      </c>
      <c r="AG107" s="270">
        <v>80111600</v>
      </c>
      <c r="AH107" s="249" t="s">
        <v>681</v>
      </c>
      <c r="AI107" s="301">
        <f t="shared" si="58"/>
        <v>45339</v>
      </c>
      <c r="AJ107" s="301">
        <f t="shared" si="48"/>
        <v>45339</v>
      </c>
      <c r="AK107" s="302">
        <f t="shared" si="51"/>
        <v>4</v>
      </c>
      <c r="AL107" s="303" t="s">
        <v>241</v>
      </c>
      <c r="AM107" s="304" t="s">
        <v>242</v>
      </c>
      <c r="AN107" s="305">
        <f t="shared" si="52"/>
        <v>3765355</v>
      </c>
      <c r="AO107" s="305">
        <f t="shared" si="49"/>
        <v>3765355</v>
      </c>
      <c r="AP107" s="303" t="s">
        <v>244</v>
      </c>
      <c r="AQ107" s="303" t="s">
        <v>245</v>
      </c>
      <c r="AR107" s="360" t="s">
        <v>246</v>
      </c>
      <c r="AS107" s="306" t="s">
        <v>247</v>
      </c>
      <c r="AT107" s="307" t="s">
        <v>372</v>
      </c>
      <c r="AU107" s="308" t="s">
        <v>248</v>
      </c>
      <c r="AV107" s="361" t="s">
        <v>249</v>
      </c>
      <c r="AW107" s="303" t="s">
        <v>244</v>
      </c>
      <c r="AX107" s="303" t="s">
        <v>361</v>
      </c>
      <c r="AY107" s="362" t="s">
        <v>250</v>
      </c>
      <c r="AZ107" s="363" t="s">
        <v>251</v>
      </c>
      <c r="BA107" s="363" t="s">
        <v>252</v>
      </c>
      <c r="BB107" s="363" t="s">
        <v>250</v>
      </c>
      <c r="BC107" s="363"/>
      <c r="BD107" s="363"/>
    </row>
    <row r="108" spans="1:56" ht="72" x14ac:dyDescent="0.2">
      <c r="A108" s="257" t="s">
        <v>348</v>
      </c>
      <c r="B108" s="299" t="s">
        <v>63</v>
      </c>
      <c r="C108" s="299" t="s">
        <v>25</v>
      </c>
      <c r="D108" s="299" t="s">
        <v>80</v>
      </c>
      <c r="E108" s="299"/>
      <c r="F108" s="350" t="s">
        <v>383</v>
      </c>
      <c r="G108" s="350" t="s">
        <v>374</v>
      </c>
      <c r="H108" s="299" t="s">
        <v>67</v>
      </c>
      <c r="I108" s="299">
        <v>6</v>
      </c>
      <c r="J108" s="251">
        <v>6000000</v>
      </c>
      <c r="K108" s="300">
        <f t="shared" si="47"/>
        <v>3.3333333333333437E-2</v>
      </c>
      <c r="L108" s="311">
        <f>IF(H108="OTRO",(J108*1.05),VLOOKUP((I108&amp;H108),'ESCALAS Salarios'!$D$2:$F$30,3,0))</f>
        <v>6200000</v>
      </c>
      <c r="M108" s="299">
        <v>1</v>
      </c>
      <c r="N108" s="299" t="s">
        <v>485</v>
      </c>
      <c r="O108" s="250">
        <v>45313</v>
      </c>
      <c r="P108" s="316">
        <v>45653</v>
      </c>
      <c r="Q108" s="312">
        <f t="shared" si="50"/>
        <v>70266666.666666672</v>
      </c>
      <c r="R108" s="250"/>
      <c r="S108" s="250"/>
      <c r="T108" s="312">
        <f t="shared" si="42"/>
        <v>0</v>
      </c>
      <c r="U108" s="318">
        <f t="shared" si="43"/>
        <v>11</v>
      </c>
      <c r="V108" s="352">
        <f t="shared" si="44"/>
        <v>70266666.666666672</v>
      </c>
      <c r="W108" s="313">
        <v>47400000</v>
      </c>
      <c r="X108" s="353">
        <f t="shared" si="45"/>
        <v>0.48241912798874842</v>
      </c>
      <c r="Y108" s="376">
        <v>53017352</v>
      </c>
      <c r="Z108" s="376" t="s">
        <v>461</v>
      </c>
      <c r="AA108" s="356">
        <f t="shared" si="46"/>
        <v>70266666.666666672</v>
      </c>
      <c r="AB108" s="270" t="s">
        <v>243</v>
      </c>
      <c r="AC108" s="393" t="s">
        <v>1</v>
      </c>
      <c r="AD108" s="358" t="s">
        <v>361</v>
      </c>
      <c r="AE108" s="358" t="s">
        <v>244</v>
      </c>
      <c r="AF108" s="359" t="str">
        <f t="shared" si="57"/>
        <v>CON-105</v>
      </c>
      <c r="AG108" s="270">
        <v>80111600</v>
      </c>
      <c r="AH108" s="249" t="s">
        <v>389</v>
      </c>
      <c r="AI108" s="301">
        <f t="shared" si="58"/>
        <v>45313</v>
      </c>
      <c r="AJ108" s="301">
        <f t="shared" si="48"/>
        <v>45313</v>
      </c>
      <c r="AK108" s="302">
        <f t="shared" si="51"/>
        <v>11</v>
      </c>
      <c r="AL108" s="303" t="s">
        <v>241</v>
      </c>
      <c r="AM108" s="304" t="s">
        <v>242</v>
      </c>
      <c r="AN108" s="305">
        <f t="shared" si="52"/>
        <v>70266666.666666672</v>
      </c>
      <c r="AO108" s="305">
        <f t="shared" si="49"/>
        <v>70266666.666666672</v>
      </c>
      <c r="AP108" s="303" t="s">
        <v>244</v>
      </c>
      <c r="AQ108" s="303" t="s">
        <v>245</v>
      </c>
      <c r="AR108" s="360" t="s">
        <v>246</v>
      </c>
      <c r="AS108" s="306" t="s">
        <v>247</v>
      </c>
      <c r="AT108" s="307" t="str">
        <f>D108</f>
        <v>DESPACHO VAD</v>
      </c>
      <c r="AU108" s="308" t="s">
        <v>248</v>
      </c>
      <c r="AV108" s="361" t="s">
        <v>249</v>
      </c>
      <c r="AW108" s="303" t="s">
        <v>244</v>
      </c>
      <c r="AX108" s="303" t="s">
        <v>244</v>
      </c>
      <c r="AY108" s="362" t="s">
        <v>250</v>
      </c>
      <c r="AZ108" s="363" t="s">
        <v>251</v>
      </c>
      <c r="BA108" s="363" t="s">
        <v>252</v>
      </c>
      <c r="BB108" s="363" t="s">
        <v>250</v>
      </c>
      <c r="BC108" s="363"/>
      <c r="BD108" s="363"/>
    </row>
    <row r="109" spans="1:56" ht="48" x14ac:dyDescent="0.2">
      <c r="A109" s="257" t="s">
        <v>637</v>
      </c>
      <c r="B109" s="299" t="s">
        <v>63</v>
      </c>
      <c r="C109" s="299" t="s">
        <v>25</v>
      </c>
      <c r="D109" s="299" t="s">
        <v>38</v>
      </c>
      <c r="E109" s="299" t="s">
        <v>84</v>
      </c>
      <c r="F109" s="350" t="s">
        <v>39</v>
      </c>
      <c r="G109" s="350" t="s">
        <v>75</v>
      </c>
      <c r="H109" s="299" t="s">
        <v>71</v>
      </c>
      <c r="I109" s="299">
        <v>3</v>
      </c>
      <c r="J109" s="311">
        <v>1712528.2124999999</v>
      </c>
      <c r="K109" s="300">
        <f t="shared" si="47"/>
        <v>8.0274173877296073E-2</v>
      </c>
      <c r="L109" s="311">
        <f>IF(H109="OTRO",(J109*1.05),VLOOKUP((I109&amp;H109),'ESCALAS Salarios'!$D$2:$F$30,3,0))</f>
        <v>1850000</v>
      </c>
      <c r="M109" s="299">
        <v>1</v>
      </c>
      <c r="N109" s="299" t="s">
        <v>485</v>
      </c>
      <c r="O109" s="250">
        <v>45335</v>
      </c>
      <c r="P109" s="316">
        <v>45449</v>
      </c>
      <c r="Q109" s="312">
        <f t="shared" si="50"/>
        <v>7030000</v>
      </c>
      <c r="R109" s="250">
        <v>45517</v>
      </c>
      <c r="S109" s="377">
        <v>45624</v>
      </c>
      <c r="T109" s="312">
        <f t="shared" ref="T109:T114" si="64">IF($N109="MENSUAL",ROUND((((S109-R109))/30),0)*$L109,((S109-R109)/30)*$L109)</f>
        <v>6598333.333333334</v>
      </c>
      <c r="U109" s="318">
        <f t="shared" ref="U109:U114" si="65">ROUND((((P109-O109)+(S109-R109))/30),0)</f>
        <v>7</v>
      </c>
      <c r="V109" s="352">
        <f t="shared" ref="V109:V114" si="66">+Q109+T109</f>
        <v>13628333.333333334</v>
      </c>
      <c r="W109" s="313">
        <f>6964281*2.05</f>
        <v>14276776.049999999</v>
      </c>
      <c r="X109" s="353">
        <f t="shared" ref="X109:X110" si="67">IF(W109="",1,IF(W109=0,1,((V109/W109)-1)))</f>
        <v>-4.5419408022910446E-2</v>
      </c>
      <c r="Y109" s="313"/>
      <c r="Z109" s="355"/>
      <c r="AA109" s="356">
        <f t="shared" ref="AA109:AA115" si="68">+V109</f>
        <v>13628333.333333334</v>
      </c>
      <c r="AB109" s="270" t="s">
        <v>243</v>
      </c>
      <c r="AC109" s="393" t="s">
        <v>15</v>
      </c>
      <c r="AD109" s="358" t="s">
        <v>361</v>
      </c>
      <c r="AE109" s="358" t="s">
        <v>244</v>
      </c>
      <c r="AF109" s="359" t="str">
        <f t="shared" si="57"/>
        <v>CON-107</v>
      </c>
      <c r="AG109" s="270">
        <v>80111600</v>
      </c>
      <c r="AH109" s="249" t="s">
        <v>465</v>
      </c>
      <c r="AI109" s="301">
        <f t="shared" si="58"/>
        <v>45335</v>
      </c>
      <c r="AJ109" s="301">
        <f t="shared" si="48"/>
        <v>45335</v>
      </c>
      <c r="AK109" s="302">
        <f t="shared" si="51"/>
        <v>7</v>
      </c>
      <c r="AL109" s="303" t="s">
        <v>241</v>
      </c>
      <c r="AM109" s="304" t="s">
        <v>242</v>
      </c>
      <c r="AN109" s="305">
        <f t="shared" si="52"/>
        <v>13628333.333333334</v>
      </c>
      <c r="AO109" s="305">
        <f t="shared" si="49"/>
        <v>13628333.333333334</v>
      </c>
      <c r="AP109" s="303" t="s">
        <v>244</v>
      </c>
      <c r="AQ109" s="303" t="s">
        <v>245</v>
      </c>
      <c r="AR109" s="360" t="s">
        <v>246</v>
      </c>
      <c r="AS109" s="306" t="s">
        <v>247</v>
      </c>
      <c r="AT109" s="307" t="str">
        <f>D109</f>
        <v>SUBDIRECCIÓN DE BIENESTAR UNIVERSITARIO</v>
      </c>
      <c r="AU109" s="308" t="s">
        <v>248</v>
      </c>
      <c r="AV109" s="361" t="s">
        <v>249</v>
      </c>
      <c r="AW109" s="303" t="s">
        <v>244</v>
      </c>
      <c r="AX109" s="303" t="s">
        <v>244</v>
      </c>
      <c r="AY109" s="362" t="s">
        <v>250</v>
      </c>
      <c r="AZ109" s="363" t="s">
        <v>251</v>
      </c>
      <c r="BA109" s="363" t="s">
        <v>252</v>
      </c>
      <c r="BB109" s="363" t="s">
        <v>250</v>
      </c>
      <c r="BC109" s="363"/>
      <c r="BD109" s="363"/>
    </row>
    <row r="110" spans="1:56" ht="48" x14ac:dyDescent="0.2">
      <c r="A110" s="257" t="s">
        <v>638</v>
      </c>
      <c r="B110" s="299" t="s">
        <v>63</v>
      </c>
      <c r="C110" s="299" t="s">
        <v>25</v>
      </c>
      <c r="D110" s="299" t="s">
        <v>38</v>
      </c>
      <c r="E110" s="299" t="s">
        <v>86</v>
      </c>
      <c r="F110" s="350" t="s">
        <v>40</v>
      </c>
      <c r="G110" s="350" t="s">
        <v>75</v>
      </c>
      <c r="H110" s="299" t="s">
        <v>71</v>
      </c>
      <c r="I110" s="299">
        <v>3</v>
      </c>
      <c r="J110" s="311">
        <v>1712528.2124999999</v>
      </c>
      <c r="K110" s="300">
        <f t="shared" si="47"/>
        <v>8.0274173877296073E-2</v>
      </c>
      <c r="L110" s="311">
        <f>IF(H110="OTRO",(J110*1.05),VLOOKUP((I110&amp;H110),'ESCALAS Salarios'!$D$2:$F$30,3,0))</f>
        <v>1850000</v>
      </c>
      <c r="M110" s="299">
        <v>1</v>
      </c>
      <c r="N110" s="299" t="s">
        <v>485</v>
      </c>
      <c r="O110" s="250">
        <v>45335</v>
      </c>
      <c r="P110" s="316">
        <v>45449</v>
      </c>
      <c r="Q110" s="312">
        <f t="shared" ref="Q110" si="69">IF($N110="MENSUAL",ROUND((((P110-O110))/30),0)*$L110*$M110,((P110-O110)/30)*$L110*$M110)</f>
        <v>7030000</v>
      </c>
      <c r="R110" s="250">
        <v>45517</v>
      </c>
      <c r="S110" s="377">
        <v>45624</v>
      </c>
      <c r="T110" s="312">
        <f t="shared" si="64"/>
        <v>6598333.333333334</v>
      </c>
      <c r="U110" s="318">
        <f t="shared" si="65"/>
        <v>7</v>
      </c>
      <c r="V110" s="352">
        <f t="shared" si="66"/>
        <v>13628333.333333334</v>
      </c>
      <c r="W110" s="313">
        <f>6964281*2.05</f>
        <v>14276776.049999999</v>
      </c>
      <c r="X110" s="353">
        <f t="shared" si="67"/>
        <v>-4.5419408022910446E-2</v>
      </c>
      <c r="Y110" s="313"/>
      <c r="Z110" s="355"/>
      <c r="AA110" s="356">
        <f t="shared" si="68"/>
        <v>13628333.333333334</v>
      </c>
      <c r="AB110" s="270" t="s">
        <v>243</v>
      </c>
      <c r="AC110" s="393" t="s">
        <v>15</v>
      </c>
      <c r="AD110" s="358" t="s">
        <v>361</v>
      </c>
      <c r="AE110" s="358" t="s">
        <v>244</v>
      </c>
      <c r="AF110" s="359" t="str">
        <f t="shared" si="57"/>
        <v>CON-108</v>
      </c>
      <c r="AG110" s="270">
        <v>80111600</v>
      </c>
      <c r="AH110" s="249" t="s">
        <v>497</v>
      </c>
      <c r="AI110" s="301">
        <f t="shared" si="58"/>
        <v>45335</v>
      </c>
      <c r="AJ110" s="301">
        <f t="shared" si="48"/>
        <v>45335</v>
      </c>
      <c r="AK110" s="302">
        <f t="shared" si="51"/>
        <v>7</v>
      </c>
      <c r="AL110" s="303" t="s">
        <v>241</v>
      </c>
      <c r="AM110" s="304" t="s">
        <v>242</v>
      </c>
      <c r="AN110" s="305">
        <f t="shared" si="52"/>
        <v>13628333.333333334</v>
      </c>
      <c r="AO110" s="305">
        <f t="shared" si="49"/>
        <v>13628333.333333334</v>
      </c>
      <c r="AP110" s="303" t="s">
        <v>244</v>
      </c>
      <c r="AQ110" s="303" t="s">
        <v>245</v>
      </c>
      <c r="AR110" s="360" t="s">
        <v>246</v>
      </c>
      <c r="AS110" s="306" t="s">
        <v>247</v>
      </c>
      <c r="AT110" s="307" t="str">
        <f>D110</f>
        <v>SUBDIRECCIÓN DE BIENESTAR UNIVERSITARIO</v>
      </c>
      <c r="AU110" s="308" t="s">
        <v>248</v>
      </c>
      <c r="AV110" s="361" t="s">
        <v>249</v>
      </c>
      <c r="AW110" s="303" t="s">
        <v>244</v>
      </c>
      <c r="AX110" s="303" t="s">
        <v>244</v>
      </c>
      <c r="AY110" s="362" t="s">
        <v>250</v>
      </c>
      <c r="AZ110" s="363" t="s">
        <v>251</v>
      </c>
      <c r="BA110" s="363" t="s">
        <v>252</v>
      </c>
      <c r="BB110" s="363" t="s">
        <v>250</v>
      </c>
      <c r="BC110" s="363"/>
      <c r="BD110" s="363"/>
    </row>
    <row r="111" spans="1:56" ht="40.5" customHeight="1" x14ac:dyDescent="0.2">
      <c r="A111" s="257" t="s">
        <v>624</v>
      </c>
      <c r="B111" s="299" t="s">
        <v>63</v>
      </c>
      <c r="C111" s="299" t="s">
        <v>65</v>
      </c>
      <c r="D111" s="299" t="s">
        <v>68</v>
      </c>
      <c r="E111" s="299"/>
      <c r="F111" s="350" t="s">
        <v>383</v>
      </c>
      <c r="G111" s="350" t="s">
        <v>374</v>
      </c>
      <c r="H111" s="299" t="s">
        <v>69</v>
      </c>
      <c r="I111" s="299">
        <v>4</v>
      </c>
      <c r="J111" s="251">
        <v>3700000</v>
      </c>
      <c r="K111" s="300">
        <f t="shared" si="47"/>
        <v>5.4054054054053946E-2</v>
      </c>
      <c r="L111" s="311">
        <f>IF(H111="OTRO",(J111*1.05),VLOOKUP((I111&amp;H111),'ESCALAS Salarios'!$D$2:$F$30,3,0))</f>
        <v>3900000</v>
      </c>
      <c r="M111" s="299">
        <v>1</v>
      </c>
      <c r="N111" s="299" t="s">
        <v>485</v>
      </c>
      <c r="O111" s="250">
        <v>45327</v>
      </c>
      <c r="P111" s="316">
        <v>45639</v>
      </c>
      <c r="Q111" s="312">
        <f t="shared" ref="Q111:Q114" si="70">IF($N111="MENSUAL",ROUND((((P111-O111))/30),0)*$L111*$M111,((P111-O111)/30)*$L111*$M111)</f>
        <v>40560000</v>
      </c>
      <c r="R111" s="387"/>
      <c r="S111" s="387"/>
      <c r="T111" s="312">
        <f t="shared" si="64"/>
        <v>0</v>
      </c>
      <c r="U111" s="318">
        <f t="shared" si="65"/>
        <v>10</v>
      </c>
      <c r="V111" s="352">
        <f t="shared" si="66"/>
        <v>40560000</v>
      </c>
      <c r="W111" s="356">
        <v>21000000</v>
      </c>
      <c r="X111" s="353">
        <f t="shared" ref="X111:X115" si="71">IF(W111="",1,((V111/W111)-1))</f>
        <v>0.93142857142857149</v>
      </c>
      <c r="Y111" s="356"/>
      <c r="Z111" s="355" t="s">
        <v>488</v>
      </c>
      <c r="AA111" s="356">
        <f t="shared" si="68"/>
        <v>40560000</v>
      </c>
      <c r="AB111" s="382" t="s">
        <v>243</v>
      </c>
      <c r="AC111" s="393" t="s">
        <v>1</v>
      </c>
      <c r="AD111" s="383" t="s">
        <v>361</v>
      </c>
      <c r="AE111" s="358" t="s">
        <v>244</v>
      </c>
      <c r="AF111" s="359" t="str">
        <f t="shared" si="57"/>
        <v>CON-109</v>
      </c>
      <c r="AG111" s="382">
        <v>80111600</v>
      </c>
      <c r="AH111" s="384" t="s">
        <v>394</v>
      </c>
      <c r="AI111" s="301">
        <f t="shared" si="58"/>
        <v>45327</v>
      </c>
      <c r="AJ111" s="301">
        <f t="shared" si="48"/>
        <v>45327</v>
      </c>
      <c r="AK111" s="302">
        <f t="shared" si="51"/>
        <v>10</v>
      </c>
      <c r="AL111" s="252" t="s">
        <v>241</v>
      </c>
      <c r="AM111" s="304" t="s">
        <v>242</v>
      </c>
      <c r="AN111" s="305">
        <f t="shared" si="52"/>
        <v>40560000</v>
      </c>
      <c r="AO111" s="305">
        <f t="shared" si="49"/>
        <v>40560000</v>
      </c>
      <c r="AP111" s="303" t="s">
        <v>244</v>
      </c>
      <c r="AQ111" s="303" t="s">
        <v>245</v>
      </c>
      <c r="AR111" s="360" t="s">
        <v>246</v>
      </c>
      <c r="AS111" s="306" t="s">
        <v>247</v>
      </c>
      <c r="AT111" s="253" t="s">
        <v>68</v>
      </c>
      <c r="AU111" s="308" t="s">
        <v>248</v>
      </c>
      <c r="AV111" s="361" t="s">
        <v>249</v>
      </c>
      <c r="AW111" s="254" t="s">
        <v>244</v>
      </c>
      <c r="AX111" s="254" t="s">
        <v>244</v>
      </c>
      <c r="AY111" s="385" t="s">
        <v>250</v>
      </c>
      <c r="AZ111" s="386" t="s">
        <v>251</v>
      </c>
      <c r="BA111" s="386" t="s">
        <v>252</v>
      </c>
      <c r="BB111" s="386" t="s">
        <v>250</v>
      </c>
      <c r="BC111" s="386"/>
      <c r="BD111" s="386"/>
    </row>
    <row r="112" spans="1:56" ht="60" x14ac:dyDescent="0.2">
      <c r="A112" s="257" t="s">
        <v>469</v>
      </c>
      <c r="B112" s="299" t="s">
        <v>63</v>
      </c>
      <c r="C112" s="299" t="s">
        <v>78</v>
      </c>
      <c r="D112" s="299" t="s">
        <v>371</v>
      </c>
      <c r="E112" s="299"/>
      <c r="F112" s="350" t="s">
        <v>383</v>
      </c>
      <c r="G112" s="350" t="s">
        <v>397</v>
      </c>
      <c r="H112" s="299" t="s">
        <v>69</v>
      </c>
      <c r="I112" s="299">
        <v>4</v>
      </c>
      <c r="J112" s="251">
        <v>3700000</v>
      </c>
      <c r="K112" s="300">
        <f t="shared" si="47"/>
        <v>5.4054054054053946E-2</v>
      </c>
      <c r="L112" s="311">
        <f>IF(H112="OTRO",(J112*1.05),VLOOKUP((I112&amp;H112),'ESCALAS Salarios'!$D$2:$F$30,3,0))</f>
        <v>3900000</v>
      </c>
      <c r="M112" s="299">
        <v>1</v>
      </c>
      <c r="N112" s="299" t="s">
        <v>485</v>
      </c>
      <c r="O112" s="250">
        <v>45327</v>
      </c>
      <c r="P112" s="316">
        <v>45626</v>
      </c>
      <c r="Q112" s="312">
        <f t="shared" si="70"/>
        <v>38870000</v>
      </c>
      <c r="R112" s="387"/>
      <c r="S112" s="387"/>
      <c r="T112" s="312">
        <f t="shared" si="64"/>
        <v>0</v>
      </c>
      <c r="U112" s="318">
        <f t="shared" si="65"/>
        <v>10</v>
      </c>
      <c r="V112" s="352">
        <f t="shared" si="66"/>
        <v>38870000</v>
      </c>
      <c r="W112" s="356">
        <v>21000000</v>
      </c>
      <c r="X112" s="353">
        <f t="shared" si="71"/>
        <v>0.8509523809523809</v>
      </c>
      <c r="Y112" s="356"/>
      <c r="Z112" s="355"/>
      <c r="AA112" s="356">
        <f t="shared" si="68"/>
        <v>38870000</v>
      </c>
      <c r="AB112" s="382" t="s">
        <v>243</v>
      </c>
      <c r="AC112" s="393" t="s">
        <v>1</v>
      </c>
      <c r="AD112" s="383" t="s">
        <v>361</v>
      </c>
      <c r="AE112" s="358" t="s">
        <v>244</v>
      </c>
      <c r="AF112" s="359" t="str">
        <f t="shared" si="57"/>
        <v>CON-110</v>
      </c>
      <c r="AG112" s="382">
        <v>80111600</v>
      </c>
      <c r="AH112" s="384" t="s">
        <v>395</v>
      </c>
      <c r="AI112" s="301">
        <f t="shared" si="58"/>
        <v>45327</v>
      </c>
      <c r="AJ112" s="301">
        <f t="shared" si="48"/>
        <v>45327</v>
      </c>
      <c r="AK112" s="302">
        <f t="shared" si="51"/>
        <v>10</v>
      </c>
      <c r="AL112" s="252" t="s">
        <v>241</v>
      </c>
      <c r="AM112" s="304" t="s">
        <v>242</v>
      </c>
      <c r="AN112" s="305">
        <f t="shared" si="52"/>
        <v>38870000</v>
      </c>
      <c r="AO112" s="305">
        <f t="shared" si="49"/>
        <v>38870000</v>
      </c>
      <c r="AP112" s="303" t="s">
        <v>244</v>
      </c>
      <c r="AQ112" s="303" t="s">
        <v>245</v>
      </c>
      <c r="AR112" s="360" t="s">
        <v>246</v>
      </c>
      <c r="AS112" s="306" t="s">
        <v>247</v>
      </c>
      <c r="AT112" s="253" t="s">
        <v>371</v>
      </c>
      <c r="AU112" s="308" t="s">
        <v>248</v>
      </c>
      <c r="AV112" s="361" t="s">
        <v>249</v>
      </c>
      <c r="AW112" s="254" t="s">
        <v>244</v>
      </c>
      <c r="AX112" s="254" t="s">
        <v>244</v>
      </c>
      <c r="AY112" s="385" t="s">
        <v>250</v>
      </c>
      <c r="AZ112" s="386" t="s">
        <v>251</v>
      </c>
      <c r="BA112" s="386" t="s">
        <v>252</v>
      </c>
      <c r="BB112" s="386" t="s">
        <v>250</v>
      </c>
      <c r="BC112" s="386"/>
      <c r="BD112" s="386"/>
    </row>
    <row r="113" spans="1:56" ht="68.25" customHeight="1" x14ac:dyDescent="0.2">
      <c r="A113" s="257" t="s">
        <v>639</v>
      </c>
      <c r="B113" s="299" t="s">
        <v>63</v>
      </c>
      <c r="C113" s="299" t="s">
        <v>25</v>
      </c>
      <c r="D113" s="299" t="s">
        <v>38</v>
      </c>
      <c r="E113" s="299" t="s">
        <v>84</v>
      </c>
      <c r="F113" s="350" t="s">
        <v>39</v>
      </c>
      <c r="G113" s="350" t="s">
        <v>75</v>
      </c>
      <c r="H113" s="299" t="s">
        <v>71</v>
      </c>
      <c r="I113" s="299">
        <v>3</v>
      </c>
      <c r="J113" s="311">
        <v>1750000</v>
      </c>
      <c r="K113" s="300">
        <f t="shared" si="47"/>
        <v>5.7142857142857162E-2</v>
      </c>
      <c r="L113" s="311">
        <f>IF(H113="OTRO",(J113*1.05),VLOOKUP((I113&amp;H113),'ESCALAS Salarios'!$D$2:$F$30,3,0))</f>
        <v>1850000</v>
      </c>
      <c r="M113" s="299">
        <v>1</v>
      </c>
      <c r="N113" s="299" t="s">
        <v>485</v>
      </c>
      <c r="O113" s="250">
        <v>45335</v>
      </c>
      <c r="P113" s="316">
        <v>45449</v>
      </c>
      <c r="Q113" s="312">
        <f t="shared" si="70"/>
        <v>7030000</v>
      </c>
      <c r="R113" s="250">
        <v>45517</v>
      </c>
      <c r="S113" s="377">
        <v>45624</v>
      </c>
      <c r="T113" s="312">
        <f t="shared" si="64"/>
        <v>6598333.333333334</v>
      </c>
      <c r="U113" s="318">
        <f t="shared" si="65"/>
        <v>7</v>
      </c>
      <c r="V113" s="352">
        <f t="shared" si="66"/>
        <v>13628333.333333334</v>
      </c>
      <c r="W113" s="313">
        <f>6964281*2.05</f>
        <v>14276776.049999999</v>
      </c>
      <c r="X113" s="353">
        <f>IF(W113="",1,IF(W113=0,1,((V113/W113)-1)))</f>
        <v>-4.5419408022910446E-2</v>
      </c>
      <c r="Y113" s="388"/>
      <c r="Z113" s="388"/>
      <c r="AA113" s="356">
        <f t="shared" si="68"/>
        <v>13628333.333333334</v>
      </c>
      <c r="AB113" s="270" t="s">
        <v>243</v>
      </c>
      <c r="AC113" s="393" t="s">
        <v>15</v>
      </c>
      <c r="AD113" s="358" t="s">
        <v>361</v>
      </c>
      <c r="AE113" s="358" t="s">
        <v>244</v>
      </c>
      <c r="AF113" s="359" t="str">
        <f t="shared" si="57"/>
        <v>CON-111</v>
      </c>
      <c r="AG113" s="270">
        <v>80111600</v>
      </c>
      <c r="AH113" s="249" t="s">
        <v>466</v>
      </c>
      <c r="AI113" s="301">
        <f t="shared" si="58"/>
        <v>45335</v>
      </c>
      <c r="AJ113" s="301">
        <f t="shared" si="48"/>
        <v>45335</v>
      </c>
      <c r="AK113" s="302">
        <f t="shared" si="51"/>
        <v>7</v>
      </c>
      <c r="AL113" s="303" t="s">
        <v>241</v>
      </c>
      <c r="AM113" s="304" t="s">
        <v>242</v>
      </c>
      <c r="AN113" s="305">
        <f t="shared" si="52"/>
        <v>13628333.333333334</v>
      </c>
      <c r="AO113" s="305">
        <f t="shared" si="49"/>
        <v>13628333.333333334</v>
      </c>
      <c r="AP113" s="303" t="s">
        <v>244</v>
      </c>
      <c r="AQ113" s="303" t="s">
        <v>245</v>
      </c>
      <c r="AR113" s="360" t="s">
        <v>246</v>
      </c>
      <c r="AS113" s="306" t="s">
        <v>247</v>
      </c>
      <c r="AT113" s="307" t="s">
        <v>38</v>
      </c>
      <c r="AU113" s="308" t="s">
        <v>248</v>
      </c>
      <c r="AV113" s="361" t="s">
        <v>249</v>
      </c>
      <c r="AW113" s="303" t="s">
        <v>244</v>
      </c>
      <c r="AX113" s="303" t="s">
        <v>244</v>
      </c>
      <c r="AY113" s="362" t="s">
        <v>250</v>
      </c>
      <c r="AZ113" s="363" t="s">
        <v>251</v>
      </c>
      <c r="BA113" s="363" t="s">
        <v>252</v>
      </c>
      <c r="BB113" s="363" t="s">
        <v>250</v>
      </c>
      <c r="BC113" s="363"/>
      <c r="BD113" s="363"/>
    </row>
    <row r="114" spans="1:56" s="266" customFormat="1" ht="47.25" hidden="1" customHeight="1" x14ac:dyDescent="0.2">
      <c r="A114" s="267" t="s">
        <v>640</v>
      </c>
      <c r="B114" s="258" t="s">
        <v>63</v>
      </c>
      <c r="C114" s="258" t="s">
        <v>78</v>
      </c>
      <c r="D114" s="258" t="s">
        <v>23</v>
      </c>
      <c r="E114" s="258"/>
      <c r="F114" s="258"/>
      <c r="G114" s="258" t="s">
        <v>72</v>
      </c>
      <c r="H114" s="258" t="s">
        <v>473</v>
      </c>
      <c r="I114" s="258">
        <v>1</v>
      </c>
      <c r="J114" s="251">
        <v>1430000</v>
      </c>
      <c r="K114" s="300">
        <f t="shared" si="47"/>
        <v>5.0000000000000044E-2</v>
      </c>
      <c r="L114" s="282">
        <f>IF(H114="OTRO",(J114*1.05),VLOOKUP((I114&amp;H114),'ESCALAS Salarios'!$D$2:$F$30,3,0))</f>
        <v>1501500</v>
      </c>
      <c r="M114" s="258">
        <v>1</v>
      </c>
      <c r="N114" s="258" t="s">
        <v>485</v>
      </c>
      <c r="O114" s="283">
        <v>45327</v>
      </c>
      <c r="P114" s="389">
        <v>45648</v>
      </c>
      <c r="Q114" s="282">
        <f t="shared" si="70"/>
        <v>16066049.999999998</v>
      </c>
      <c r="R114" s="390"/>
      <c r="S114" s="391"/>
      <c r="T114" s="282">
        <f t="shared" si="64"/>
        <v>0</v>
      </c>
      <c r="U114" s="285">
        <f t="shared" si="65"/>
        <v>11</v>
      </c>
      <c r="V114" s="282">
        <f t="shared" si="66"/>
        <v>16066049.999999998</v>
      </c>
      <c r="W114" s="356">
        <v>1430000</v>
      </c>
      <c r="X114" s="353">
        <f t="shared" si="71"/>
        <v>10.234999999999999</v>
      </c>
      <c r="Y114" s="376"/>
      <c r="Z114" s="376"/>
      <c r="AA114" s="288">
        <f t="shared" si="68"/>
        <v>16066049.999999998</v>
      </c>
      <c r="AB114" s="258" t="s">
        <v>243</v>
      </c>
      <c r="AC114" s="381" t="s">
        <v>15</v>
      </c>
      <c r="AD114" s="381" t="s">
        <v>244</v>
      </c>
      <c r="AE114" s="290" t="s">
        <v>244</v>
      </c>
      <c r="AF114" s="291" t="str">
        <f t="shared" si="57"/>
        <v>CON-112</v>
      </c>
      <c r="AG114" s="258">
        <v>80111600</v>
      </c>
      <c r="AH114" s="259" t="s">
        <v>467</v>
      </c>
      <c r="AI114" s="260">
        <f t="shared" si="58"/>
        <v>45327</v>
      </c>
      <c r="AJ114" s="260">
        <f t="shared" si="48"/>
        <v>45327</v>
      </c>
      <c r="AK114" s="261">
        <f t="shared" si="51"/>
        <v>11</v>
      </c>
      <c r="AL114" s="262" t="s">
        <v>241</v>
      </c>
      <c r="AM114" s="263" t="s">
        <v>242</v>
      </c>
      <c r="AN114" s="264"/>
      <c r="AO114" s="264"/>
      <c r="AP114" s="262" t="s">
        <v>244</v>
      </c>
      <c r="AQ114" s="262" t="s">
        <v>245</v>
      </c>
      <c r="AR114" s="293" t="s">
        <v>246</v>
      </c>
      <c r="AS114" s="265" t="s">
        <v>247</v>
      </c>
      <c r="AT114" s="258" t="s">
        <v>23</v>
      </c>
      <c r="AU114" s="262" t="s">
        <v>248</v>
      </c>
      <c r="AV114" s="294" t="s">
        <v>249</v>
      </c>
      <c r="AW114" s="262" t="s">
        <v>244</v>
      </c>
      <c r="AX114" s="262" t="s">
        <v>244</v>
      </c>
      <c r="AY114" s="392" t="s">
        <v>250</v>
      </c>
      <c r="AZ114" s="392" t="s">
        <v>251</v>
      </c>
      <c r="BA114" s="392" t="s">
        <v>252</v>
      </c>
      <c r="BB114" s="392" t="s">
        <v>250</v>
      </c>
      <c r="BC114" s="392"/>
      <c r="BD114" s="392"/>
    </row>
    <row r="115" spans="1:56" s="146" customFormat="1" ht="51" customHeight="1" x14ac:dyDescent="0.2">
      <c r="A115" s="257">
        <v>113</v>
      </c>
      <c r="B115" s="299" t="s">
        <v>90</v>
      </c>
      <c r="C115" s="299" t="s">
        <v>78</v>
      </c>
      <c r="D115" s="299" t="s">
        <v>375</v>
      </c>
      <c r="E115" s="299"/>
      <c r="F115" s="350" t="s">
        <v>383</v>
      </c>
      <c r="G115" s="350" t="s">
        <v>374</v>
      </c>
      <c r="H115" s="299" t="s">
        <v>473</v>
      </c>
      <c r="I115" s="299"/>
      <c r="J115" s="251">
        <f>1700000000/108/8</f>
        <v>1967592.5925925926</v>
      </c>
      <c r="K115" s="300">
        <f t="shared" ref="K115" si="72">IF(J115="",1,((L115/J115)-1))</f>
        <v>5.0000000000000044E-2</v>
      </c>
      <c r="L115" s="311">
        <f>IF(H115="OTRO",(J115*1.05),VLOOKUP((I115&amp;H115),'ESCALAS Salarios'!$D$2:$F$30,3,0))</f>
        <v>2065972.2222222222</v>
      </c>
      <c r="M115" s="299">
        <v>108</v>
      </c>
      <c r="N115" s="299" t="s">
        <v>485</v>
      </c>
      <c r="O115" s="250">
        <v>45327</v>
      </c>
      <c r="P115" s="316">
        <v>45463</v>
      </c>
      <c r="Q115" s="312">
        <v>981750000</v>
      </c>
      <c r="R115" s="317">
        <v>45339</v>
      </c>
      <c r="S115" s="317">
        <v>45473</v>
      </c>
      <c r="T115" s="312"/>
      <c r="U115" s="318">
        <v>5</v>
      </c>
      <c r="V115" s="352">
        <v>981750000</v>
      </c>
      <c r="W115" s="356">
        <v>1750000000</v>
      </c>
      <c r="X115" s="353">
        <f t="shared" si="71"/>
        <v>-0.43899999999999995</v>
      </c>
      <c r="Y115" s="376"/>
      <c r="Z115" s="376" t="s">
        <v>376</v>
      </c>
      <c r="AA115" s="356">
        <f t="shared" si="68"/>
        <v>981750000</v>
      </c>
      <c r="AB115" s="270" t="s">
        <v>243</v>
      </c>
      <c r="AC115" s="393" t="s">
        <v>373</v>
      </c>
      <c r="AD115" s="393" t="s">
        <v>361</v>
      </c>
      <c r="AE115" s="358" t="s">
        <v>244</v>
      </c>
      <c r="AF115" s="359" t="str">
        <f>"CON-"&amp;A115</f>
        <v>CON-113</v>
      </c>
      <c r="AG115" s="270">
        <v>80111600</v>
      </c>
      <c r="AH115" s="310" t="s">
        <v>682</v>
      </c>
      <c r="AI115" s="301">
        <f t="shared" ref="AI115" si="73">+O115</f>
        <v>45327</v>
      </c>
      <c r="AJ115" s="301">
        <f t="shared" ref="AJ115" si="74">+AI115</f>
        <v>45327</v>
      </c>
      <c r="AK115" s="302">
        <f t="shared" ref="AK115" si="75">+U115</f>
        <v>5</v>
      </c>
      <c r="AL115" s="303" t="s">
        <v>241</v>
      </c>
      <c r="AM115" s="304" t="s">
        <v>242</v>
      </c>
      <c r="AN115" s="305">
        <f t="shared" ref="AN115" si="76">+V115</f>
        <v>981750000</v>
      </c>
      <c r="AO115" s="305">
        <f t="shared" ref="AO115" si="77">+AN115</f>
        <v>981750000</v>
      </c>
      <c r="AP115" s="303" t="s">
        <v>244</v>
      </c>
      <c r="AQ115" s="303" t="s">
        <v>245</v>
      </c>
      <c r="AR115" s="360" t="s">
        <v>246</v>
      </c>
      <c r="AS115" s="306" t="s">
        <v>247</v>
      </c>
      <c r="AT115" s="307" t="s">
        <v>372</v>
      </c>
      <c r="AU115" s="308" t="s">
        <v>248</v>
      </c>
      <c r="AV115" s="361" t="s">
        <v>249</v>
      </c>
      <c r="AW115" s="303" t="s">
        <v>244</v>
      </c>
      <c r="AX115" s="303" t="s">
        <v>244</v>
      </c>
      <c r="AY115" s="394" t="s">
        <v>250</v>
      </c>
      <c r="AZ115" s="394" t="s">
        <v>251</v>
      </c>
      <c r="BA115" s="394" t="s">
        <v>252</v>
      </c>
      <c r="BB115" s="394" t="s">
        <v>250</v>
      </c>
      <c r="BC115" s="394"/>
      <c r="BD115" s="394"/>
    </row>
    <row r="116" spans="1:56" customFormat="1" ht="52.5" customHeight="1" x14ac:dyDescent="0.25">
      <c r="A116" s="257">
        <v>114</v>
      </c>
      <c r="B116" s="299" t="s">
        <v>90</v>
      </c>
      <c r="C116" s="299" t="s">
        <v>78</v>
      </c>
      <c r="D116" s="299" t="s">
        <v>375</v>
      </c>
      <c r="E116" s="299"/>
      <c r="F116" s="350" t="s">
        <v>383</v>
      </c>
      <c r="G116" s="350" t="s">
        <v>374</v>
      </c>
      <c r="H116" s="299" t="s">
        <v>69</v>
      </c>
      <c r="I116" s="299"/>
      <c r="J116" s="251">
        <v>1967592.5925925926</v>
      </c>
      <c r="K116" s="300">
        <v>5.0000000000000044E-2</v>
      </c>
      <c r="L116" s="311">
        <v>932058</v>
      </c>
      <c r="M116" s="299">
        <v>1</v>
      </c>
      <c r="N116" s="299" t="s">
        <v>686</v>
      </c>
      <c r="O116" s="250">
        <v>45339</v>
      </c>
      <c r="P116" s="316">
        <v>45472</v>
      </c>
      <c r="Q116" s="312">
        <v>4660290</v>
      </c>
      <c r="R116" s="317"/>
      <c r="S116" s="317"/>
      <c r="T116" s="312">
        <v>0</v>
      </c>
      <c r="U116" s="318">
        <v>5</v>
      </c>
      <c r="V116" s="352">
        <v>4660290</v>
      </c>
      <c r="W116" s="356">
        <v>1750000000</v>
      </c>
      <c r="X116" s="353">
        <v>-0.43899999999999995</v>
      </c>
      <c r="Y116" s="376"/>
      <c r="Z116" s="376" t="s">
        <v>376</v>
      </c>
      <c r="AA116" s="356">
        <v>981750000</v>
      </c>
      <c r="AB116" s="270" t="s">
        <v>243</v>
      </c>
      <c r="AC116" s="393" t="s">
        <v>373</v>
      </c>
      <c r="AD116" s="393" t="s">
        <v>361</v>
      </c>
      <c r="AE116" s="358" t="s">
        <v>244</v>
      </c>
      <c r="AF116" s="359" t="str">
        <f>"CLE-"&amp;A116</f>
        <v>CLE-114</v>
      </c>
      <c r="AG116" s="270">
        <v>80111600</v>
      </c>
      <c r="AH116" s="310" t="s">
        <v>682</v>
      </c>
      <c r="AI116" s="301">
        <v>45327</v>
      </c>
      <c r="AJ116" s="301">
        <v>45327</v>
      </c>
      <c r="AK116" s="302">
        <v>5</v>
      </c>
      <c r="AL116" s="303" t="s">
        <v>241</v>
      </c>
      <c r="AM116" s="304" t="s">
        <v>242</v>
      </c>
      <c r="AN116" s="305">
        <v>4660290</v>
      </c>
      <c r="AO116" s="305">
        <v>4660290</v>
      </c>
      <c r="AP116" s="303" t="s">
        <v>244</v>
      </c>
      <c r="AQ116" s="303" t="s">
        <v>245</v>
      </c>
      <c r="AR116" s="360" t="s">
        <v>246</v>
      </c>
      <c r="AS116" s="306" t="s">
        <v>247</v>
      </c>
      <c r="AT116" s="307" t="s">
        <v>372</v>
      </c>
      <c r="AU116" s="308" t="s">
        <v>248</v>
      </c>
      <c r="AV116" s="361" t="s">
        <v>249</v>
      </c>
      <c r="AW116" s="303" t="s">
        <v>244</v>
      </c>
      <c r="AX116" s="303" t="s">
        <v>244</v>
      </c>
      <c r="AY116" s="394" t="s">
        <v>250</v>
      </c>
      <c r="AZ116" s="394" t="s">
        <v>251</v>
      </c>
      <c r="BA116" s="394" t="s">
        <v>252</v>
      </c>
      <c r="BB116" s="394" t="s">
        <v>250</v>
      </c>
      <c r="BC116" s="394"/>
      <c r="BD116" s="394"/>
    </row>
    <row r="117" spans="1:56" customFormat="1" ht="49.5" customHeight="1" x14ac:dyDescent="0.25">
      <c r="A117" s="257">
        <v>115</v>
      </c>
      <c r="B117" s="299" t="s">
        <v>90</v>
      </c>
      <c r="C117" s="299" t="s">
        <v>78</v>
      </c>
      <c r="D117" s="299" t="s">
        <v>375</v>
      </c>
      <c r="E117" s="299"/>
      <c r="F117" s="350" t="s">
        <v>383</v>
      </c>
      <c r="G117" s="350" t="s">
        <v>374</v>
      </c>
      <c r="H117" s="299" t="s">
        <v>69</v>
      </c>
      <c r="I117" s="299"/>
      <c r="J117" s="251">
        <v>1967592.5925925926</v>
      </c>
      <c r="K117" s="300">
        <v>5.0000000000000044E-2</v>
      </c>
      <c r="L117" s="311">
        <v>932058</v>
      </c>
      <c r="M117" s="299">
        <v>1</v>
      </c>
      <c r="N117" s="299" t="s">
        <v>686</v>
      </c>
      <c r="O117" s="250">
        <v>45339</v>
      </c>
      <c r="P117" s="316">
        <v>45472</v>
      </c>
      <c r="Q117" s="312">
        <v>4660290</v>
      </c>
      <c r="R117" s="317"/>
      <c r="S117" s="317"/>
      <c r="T117" s="312">
        <v>0</v>
      </c>
      <c r="U117" s="318">
        <v>5</v>
      </c>
      <c r="V117" s="352">
        <v>4660290</v>
      </c>
      <c r="W117" s="356">
        <v>1750000000</v>
      </c>
      <c r="X117" s="353">
        <v>-0.43899999999999995</v>
      </c>
      <c r="Y117" s="376"/>
      <c r="Z117" s="376" t="s">
        <v>376</v>
      </c>
      <c r="AA117" s="356">
        <v>981750000</v>
      </c>
      <c r="AB117" s="270" t="s">
        <v>243</v>
      </c>
      <c r="AC117" s="393" t="s">
        <v>373</v>
      </c>
      <c r="AD117" s="393" t="s">
        <v>361</v>
      </c>
      <c r="AE117" s="358" t="s">
        <v>244</v>
      </c>
      <c r="AF117" s="359" t="str">
        <f t="shared" ref="AF117:AF173" si="78">"CLE-"&amp;A117</f>
        <v>CLE-115</v>
      </c>
      <c r="AG117" s="270">
        <v>80111600</v>
      </c>
      <c r="AH117" s="310" t="s">
        <v>682</v>
      </c>
      <c r="AI117" s="301">
        <v>45327</v>
      </c>
      <c r="AJ117" s="301">
        <v>45327</v>
      </c>
      <c r="AK117" s="302">
        <v>5</v>
      </c>
      <c r="AL117" s="303" t="s">
        <v>241</v>
      </c>
      <c r="AM117" s="304" t="s">
        <v>242</v>
      </c>
      <c r="AN117" s="305">
        <v>4660290</v>
      </c>
      <c r="AO117" s="305">
        <v>4660290</v>
      </c>
      <c r="AP117" s="303" t="s">
        <v>244</v>
      </c>
      <c r="AQ117" s="303" t="s">
        <v>245</v>
      </c>
      <c r="AR117" s="360" t="s">
        <v>246</v>
      </c>
      <c r="AS117" s="306" t="s">
        <v>247</v>
      </c>
      <c r="AT117" s="307" t="s">
        <v>372</v>
      </c>
      <c r="AU117" s="308" t="s">
        <v>248</v>
      </c>
      <c r="AV117" s="361" t="s">
        <v>249</v>
      </c>
      <c r="AW117" s="303" t="s">
        <v>244</v>
      </c>
      <c r="AX117" s="303" t="s">
        <v>244</v>
      </c>
      <c r="AY117" s="394" t="s">
        <v>250</v>
      </c>
      <c r="AZ117" s="394" t="s">
        <v>251</v>
      </c>
      <c r="BA117" s="394" t="s">
        <v>252</v>
      </c>
      <c r="BB117" s="394" t="s">
        <v>250</v>
      </c>
      <c r="BC117" s="394"/>
      <c r="BD117" s="394"/>
    </row>
    <row r="118" spans="1:56" customFormat="1" ht="54.75" customHeight="1" x14ac:dyDescent="0.25">
      <c r="A118" s="257">
        <v>116</v>
      </c>
      <c r="B118" s="299" t="s">
        <v>90</v>
      </c>
      <c r="C118" s="299" t="s">
        <v>78</v>
      </c>
      <c r="D118" s="299" t="s">
        <v>375</v>
      </c>
      <c r="E118" s="299"/>
      <c r="F118" s="350" t="s">
        <v>383</v>
      </c>
      <c r="G118" s="350" t="s">
        <v>374</v>
      </c>
      <c r="H118" s="299" t="s">
        <v>67</v>
      </c>
      <c r="I118" s="299"/>
      <c r="J118" s="251">
        <v>1967592.5925925926</v>
      </c>
      <c r="K118" s="300">
        <v>5.0000000000000044E-2</v>
      </c>
      <c r="L118" s="311">
        <v>1090695</v>
      </c>
      <c r="M118" s="299">
        <v>1</v>
      </c>
      <c r="N118" s="299" t="s">
        <v>686</v>
      </c>
      <c r="O118" s="250">
        <v>45339</v>
      </c>
      <c r="P118" s="316">
        <v>45472</v>
      </c>
      <c r="Q118" s="312">
        <v>5453475</v>
      </c>
      <c r="R118" s="317"/>
      <c r="S118" s="317"/>
      <c r="T118" s="312">
        <v>0</v>
      </c>
      <c r="U118" s="318">
        <v>5</v>
      </c>
      <c r="V118" s="312">
        <v>5453475</v>
      </c>
      <c r="W118" s="356">
        <v>1750000000</v>
      </c>
      <c r="X118" s="353">
        <v>-0.43899999999999995</v>
      </c>
      <c r="Y118" s="376"/>
      <c r="Z118" s="376" t="s">
        <v>376</v>
      </c>
      <c r="AA118" s="356">
        <v>981750000</v>
      </c>
      <c r="AB118" s="270" t="s">
        <v>243</v>
      </c>
      <c r="AC118" s="393" t="s">
        <v>373</v>
      </c>
      <c r="AD118" s="393" t="s">
        <v>361</v>
      </c>
      <c r="AE118" s="358" t="s">
        <v>244</v>
      </c>
      <c r="AF118" s="359" t="str">
        <f t="shared" si="78"/>
        <v>CLE-116</v>
      </c>
      <c r="AG118" s="270">
        <v>80111600</v>
      </c>
      <c r="AH118" s="310" t="s">
        <v>682</v>
      </c>
      <c r="AI118" s="301">
        <v>45327</v>
      </c>
      <c r="AJ118" s="301">
        <v>45327</v>
      </c>
      <c r="AK118" s="302">
        <v>5</v>
      </c>
      <c r="AL118" s="303" t="s">
        <v>241</v>
      </c>
      <c r="AM118" s="304" t="s">
        <v>242</v>
      </c>
      <c r="AN118" s="305">
        <v>5453475</v>
      </c>
      <c r="AO118" s="305">
        <v>5453475</v>
      </c>
      <c r="AP118" s="303" t="s">
        <v>244</v>
      </c>
      <c r="AQ118" s="303" t="s">
        <v>245</v>
      </c>
      <c r="AR118" s="360" t="s">
        <v>246</v>
      </c>
      <c r="AS118" s="306" t="s">
        <v>247</v>
      </c>
      <c r="AT118" s="307" t="s">
        <v>372</v>
      </c>
      <c r="AU118" s="308" t="s">
        <v>248</v>
      </c>
      <c r="AV118" s="361" t="s">
        <v>249</v>
      </c>
      <c r="AW118" s="303" t="s">
        <v>244</v>
      </c>
      <c r="AX118" s="303" t="s">
        <v>244</v>
      </c>
      <c r="AY118" s="394" t="s">
        <v>250</v>
      </c>
      <c r="AZ118" s="394" t="s">
        <v>251</v>
      </c>
      <c r="BA118" s="394" t="s">
        <v>252</v>
      </c>
      <c r="BB118" s="394" t="s">
        <v>250</v>
      </c>
      <c r="BC118" s="394"/>
      <c r="BD118" s="394"/>
    </row>
    <row r="119" spans="1:56" customFormat="1" ht="51" customHeight="1" x14ac:dyDescent="0.25">
      <c r="A119" s="257">
        <v>117</v>
      </c>
      <c r="B119" s="299" t="s">
        <v>90</v>
      </c>
      <c r="C119" s="299" t="s">
        <v>78</v>
      </c>
      <c r="D119" s="299" t="s">
        <v>375</v>
      </c>
      <c r="E119" s="299"/>
      <c r="F119" s="350" t="s">
        <v>383</v>
      </c>
      <c r="G119" s="350" t="s">
        <v>374</v>
      </c>
      <c r="H119" s="299" t="s">
        <v>69</v>
      </c>
      <c r="I119" s="299"/>
      <c r="J119" s="251">
        <v>1967592.5925925926</v>
      </c>
      <c r="K119" s="300">
        <v>5.0000000000000044E-2</v>
      </c>
      <c r="L119" s="311">
        <v>932058</v>
      </c>
      <c r="M119" s="299">
        <v>1</v>
      </c>
      <c r="N119" s="299" t="s">
        <v>686</v>
      </c>
      <c r="O119" s="250">
        <v>45339</v>
      </c>
      <c r="P119" s="316">
        <v>45472</v>
      </c>
      <c r="Q119" s="312">
        <v>4660290</v>
      </c>
      <c r="R119" s="317"/>
      <c r="S119" s="317"/>
      <c r="T119" s="312">
        <v>0</v>
      </c>
      <c r="U119" s="318">
        <v>5</v>
      </c>
      <c r="V119" s="352">
        <v>4660290</v>
      </c>
      <c r="W119" s="356">
        <v>1750000000</v>
      </c>
      <c r="X119" s="353">
        <v>-0.43899999999999995</v>
      </c>
      <c r="Y119" s="376"/>
      <c r="Z119" s="376" t="s">
        <v>376</v>
      </c>
      <c r="AA119" s="356">
        <v>981750000</v>
      </c>
      <c r="AB119" s="270" t="s">
        <v>243</v>
      </c>
      <c r="AC119" s="393" t="s">
        <v>373</v>
      </c>
      <c r="AD119" s="393" t="s">
        <v>361</v>
      </c>
      <c r="AE119" s="358" t="s">
        <v>244</v>
      </c>
      <c r="AF119" s="359" t="str">
        <f t="shared" si="78"/>
        <v>CLE-117</v>
      </c>
      <c r="AG119" s="270">
        <v>80111600</v>
      </c>
      <c r="AH119" s="310" t="s">
        <v>682</v>
      </c>
      <c r="AI119" s="301">
        <v>45327</v>
      </c>
      <c r="AJ119" s="301">
        <v>45327</v>
      </c>
      <c r="AK119" s="302">
        <v>5</v>
      </c>
      <c r="AL119" s="303" t="s">
        <v>241</v>
      </c>
      <c r="AM119" s="304" t="s">
        <v>242</v>
      </c>
      <c r="AN119" s="305">
        <v>4660290</v>
      </c>
      <c r="AO119" s="305">
        <v>4660290</v>
      </c>
      <c r="AP119" s="303" t="s">
        <v>244</v>
      </c>
      <c r="AQ119" s="303" t="s">
        <v>245</v>
      </c>
      <c r="AR119" s="360" t="s">
        <v>246</v>
      </c>
      <c r="AS119" s="306" t="s">
        <v>247</v>
      </c>
      <c r="AT119" s="307" t="s">
        <v>372</v>
      </c>
      <c r="AU119" s="308" t="s">
        <v>248</v>
      </c>
      <c r="AV119" s="361" t="s">
        <v>249</v>
      </c>
      <c r="AW119" s="303" t="s">
        <v>244</v>
      </c>
      <c r="AX119" s="303" t="s">
        <v>244</v>
      </c>
      <c r="AY119" s="394" t="s">
        <v>250</v>
      </c>
      <c r="AZ119" s="394" t="s">
        <v>251</v>
      </c>
      <c r="BA119" s="394" t="s">
        <v>252</v>
      </c>
      <c r="BB119" s="394" t="s">
        <v>250</v>
      </c>
      <c r="BC119" s="394"/>
      <c r="BD119" s="394"/>
    </row>
    <row r="120" spans="1:56" customFormat="1" ht="52.5" customHeight="1" x14ac:dyDescent="0.25">
      <c r="A120" s="257">
        <v>118</v>
      </c>
      <c r="B120" s="299" t="s">
        <v>90</v>
      </c>
      <c r="C120" s="299" t="s">
        <v>78</v>
      </c>
      <c r="D120" s="299" t="s">
        <v>375</v>
      </c>
      <c r="E120" s="299"/>
      <c r="F120" s="350" t="s">
        <v>383</v>
      </c>
      <c r="G120" s="350" t="s">
        <v>374</v>
      </c>
      <c r="H120" s="299" t="s">
        <v>69</v>
      </c>
      <c r="I120" s="299"/>
      <c r="J120" s="251">
        <v>1967592.5925925926</v>
      </c>
      <c r="K120" s="300">
        <v>5.0000000000000044E-2</v>
      </c>
      <c r="L120" s="311">
        <v>932058</v>
      </c>
      <c r="M120" s="299">
        <v>1</v>
      </c>
      <c r="N120" s="299" t="s">
        <v>686</v>
      </c>
      <c r="O120" s="250">
        <v>45339</v>
      </c>
      <c r="P120" s="316">
        <v>45472</v>
      </c>
      <c r="Q120" s="312">
        <v>4660290</v>
      </c>
      <c r="R120" s="317"/>
      <c r="S120" s="317"/>
      <c r="T120" s="312">
        <v>0</v>
      </c>
      <c r="U120" s="318">
        <v>5</v>
      </c>
      <c r="V120" s="352">
        <v>4660290</v>
      </c>
      <c r="W120" s="356">
        <v>1750000000</v>
      </c>
      <c r="X120" s="353">
        <v>-0.43899999999999995</v>
      </c>
      <c r="Y120" s="376"/>
      <c r="Z120" s="376" t="s">
        <v>376</v>
      </c>
      <c r="AA120" s="356">
        <v>981750000</v>
      </c>
      <c r="AB120" s="270" t="s">
        <v>243</v>
      </c>
      <c r="AC120" s="393" t="s">
        <v>373</v>
      </c>
      <c r="AD120" s="393" t="s">
        <v>361</v>
      </c>
      <c r="AE120" s="358" t="s">
        <v>244</v>
      </c>
      <c r="AF120" s="359" t="str">
        <f t="shared" si="78"/>
        <v>CLE-118</v>
      </c>
      <c r="AG120" s="270">
        <v>80111600</v>
      </c>
      <c r="AH120" s="310" t="s">
        <v>682</v>
      </c>
      <c r="AI120" s="301">
        <v>45327</v>
      </c>
      <c r="AJ120" s="301">
        <v>45327</v>
      </c>
      <c r="AK120" s="302">
        <v>5</v>
      </c>
      <c r="AL120" s="303" t="s">
        <v>241</v>
      </c>
      <c r="AM120" s="304" t="s">
        <v>242</v>
      </c>
      <c r="AN120" s="305">
        <v>4660290</v>
      </c>
      <c r="AO120" s="305">
        <v>4660290</v>
      </c>
      <c r="AP120" s="303" t="s">
        <v>244</v>
      </c>
      <c r="AQ120" s="303" t="s">
        <v>245</v>
      </c>
      <c r="AR120" s="360" t="s">
        <v>246</v>
      </c>
      <c r="AS120" s="306" t="s">
        <v>247</v>
      </c>
      <c r="AT120" s="307" t="s">
        <v>372</v>
      </c>
      <c r="AU120" s="308" t="s">
        <v>248</v>
      </c>
      <c r="AV120" s="361" t="s">
        <v>249</v>
      </c>
      <c r="AW120" s="303" t="s">
        <v>244</v>
      </c>
      <c r="AX120" s="303" t="s">
        <v>244</v>
      </c>
      <c r="AY120" s="394" t="s">
        <v>250</v>
      </c>
      <c r="AZ120" s="394" t="s">
        <v>251</v>
      </c>
      <c r="BA120" s="394" t="s">
        <v>252</v>
      </c>
      <c r="BB120" s="394" t="s">
        <v>250</v>
      </c>
      <c r="BC120" s="394"/>
      <c r="BD120" s="394"/>
    </row>
    <row r="121" spans="1:56" customFormat="1" ht="48.75" customHeight="1" x14ac:dyDescent="0.25">
      <c r="A121" s="257">
        <v>119</v>
      </c>
      <c r="B121" s="299" t="s">
        <v>90</v>
      </c>
      <c r="C121" s="299" t="s">
        <v>78</v>
      </c>
      <c r="D121" s="299" t="s">
        <v>375</v>
      </c>
      <c r="E121" s="299"/>
      <c r="F121" s="350" t="s">
        <v>383</v>
      </c>
      <c r="G121" s="350" t="s">
        <v>374</v>
      </c>
      <c r="H121" s="299" t="s">
        <v>69</v>
      </c>
      <c r="I121" s="299"/>
      <c r="J121" s="251">
        <v>1967592.5925925926</v>
      </c>
      <c r="K121" s="300">
        <v>5.0000000000000044E-2</v>
      </c>
      <c r="L121" s="311">
        <v>1490036</v>
      </c>
      <c r="M121" s="299">
        <v>1</v>
      </c>
      <c r="N121" s="299" t="s">
        <v>686</v>
      </c>
      <c r="O121" s="250">
        <v>45339</v>
      </c>
      <c r="P121" s="316">
        <v>45472</v>
      </c>
      <c r="Q121" s="312">
        <v>7450180</v>
      </c>
      <c r="R121" s="317"/>
      <c r="S121" s="317"/>
      <c r="T121" s="312">
        <v>0</v>
      </c>
      <c r="U121" s="318">
        <v>5</v>
      </c>
      <c r="V121" s="352">
        <v>7450180</v>
      </c>
      <c r="W121" s="356">
        <v>1750000000</v>
      </c>
      <c r="X121" s="353">
        <v>-0.43899999999999995</v>
      </c>
      <c r="Y121" s="376"/>
      <c r="Z121" s="376" t="s">
        <v>376</v>
      </c>
      <c r="AA121" s="356">
        <v>981750000</v>
      </c>
      <c r="AB121" s="270" t="s">
        <v>243</v>
      </c>
      <c r="AC121" s="393" t="s">
        <v>373</v>
      </c>
      <c r="AD121" s="393" t="s">
        <v>361</v>
      </c>
      <c r="AE121" s="358" t="s">
        <v>244</v>
      </c>
      <c r="AF121" s="359" t="str">
        <f t="shared" si="78"/>
        <v>CLE-119</v>
      </c>
      <c r="AG121" s="270">
        <v>80111600</v>
      </c>
      <c r="AH121" s="310" t="s">
        <v>682</v>
      </c>
      <c r="AI121" s="301">
        <v>45327</v>
      </c>
      <c r="AJ121" s="301">
        <v>45327</v>
      </c>
      <c r="AK121" s="302">
        <v>5</v>
      </c>
      <c r="AL121" s="303" t="s">
        <v>241</v>
      </c>
      <c r="AM121" s="304" t="s">
        <v>242</v>
      </c>
      <c r="AN121" s="305">
        <v>7450180</v>
      </c>
      <c r="AO121" s="305">
        <v>7450180</v>
      </c>
      <c r="AP121" s="303" t="s">
        <v>244</v>
      </c>
      <c r="AQ121" s="303" t="s">
        <v>245</v>
      </c>
      <c r="AR121" s="360" t="s">
        <v>246</v>
      </c>
      <c r="AS121" s="306" t="s">
        <v>247</v>
      </c>
      <c r="AT121" s="307" t="s">
        <v>372</v>
      </c>
      <c r="AU121" s="308" t="s">
        <v>248</v>
      </c>
      <c r="AV121" s="361" t="s">
        <v>249</v>
      </c>
      <c r="AW121" s="303" t="s">
        <v>244</v>
      </c>
      <c r="AX121" s="303" t="s">
        <v>244</v>
      </c>
      <c r="AY121" s="394" t="s">
        <v>250</v>
      </c>
      <c r="AZ121" s="394" t="s">
        <v>251</v>
      </c>
      <c r="BA121" s="394" t="s">
        <v>252</v>
      </c>
      <c r="BB121" s="394" t="s">
        <v>250</v>
      </c>
      <c r="BC121" s="394"/>
      <c r="BD121" s="394"/>
    </row>
    <row r="122" spans="1:56" customFormat="1" ht="37.5" customHeight="1" x14ac:dyDescent="0.25">
      <c r="A122" s="257">
        <v>120</v>
      </c>
      <c r="B122" s="299" t="s">
        <v>90</v>
      </c>
      <c r="C122" s="299" t="s">
        <v>78</v>
      </c>
      <c r="D122" s="299" t="s">
        <v>375</v>
      </c>
      <c r="E122" s="299"/>
      <c r="F122" s="350" t="s">
        <v>383</v>
      </c>
      <c r="G122" s="350" t="s">
        <v>374</v>
      </c>
      <c r="H122" s="299" t="s">
        <v>67</v>
      </c>
      <c r="I122" s="299"/>
      <c r="J122" s="251">
        <v>1967592.5925925926</v>
      </c>
      <c r="K122" s="300">
        <v>5.0000000000000044E-2</v>
      </c>
      <c r="L122" s="311">
        <v>1090695</v>
      </c>
      <c r="M122" s="299">
        <v>1</v>
      </c>
      <c r="N122" s="299" t="s">
        <v>686</v>
      </c>
      <c r="O122" s="250">
        <v>45339</v>
      </c>
      <c r="P122" s="316">
        <v>45472</v>
      </c>
      <c r="Q122" s="312">
        <v>5453475</v>
      </c>
      <c r="R122" s="317"/>
      <c r="S122" s="317"/>
      <c r="T122" s="312">
        <v>0</v>
      </c>
      <c r="U122" s="318">
        <v>5</v>
      </c>
      <c r="V122" s="352">
        <v>5453475</v>
      </c>
      <c r="W122" s="356">
        <v>1750000000</v>
      </c>
      <c r="X122" s="353">
        <v>-0.43899999999999995</v>
      </c>
      <c r="Y122" s="376"/>
      <c r="Z122" s="376" t="s">
        <v>376</v>
      </c>
      <c r="AA122" s="356">
        <v>981750000</v>
      </c>
      <c r="AB122" s="270" t="s">
        <v>243</v>
      </c>
      <c r="AC122" s="393" t="s">
        <v>373</v>
      </c>
      <c r="AD122" s="393" t="s">
        <v>361</v>
      </c>
      <c r="AE122" s="358" t="s">
        <v>244</v>
      </c>
      <c r="AF122" s="359" t="str">
        <f t="shared" si="78"/>
        <v>CLE-120</v>
      </c>
      <c r="AG122" s="270">
        <v>80111600</v>
      </c>
      <c r="AH122" s="310" t="s">
        <v>682</v>
      </c>
      <c r="AI122" s="301">
        <v>45327</v>
      </c>
      <c r="AJ122" s="301">
        <v>45327</v>
      </c>
      <c r="AK122" s="302">
        <v>5</v>
      </c>
      <c r="AL122" s="303" t="s">
        <v>241</v>
      </c>
      <c r="AM122" s="304" t="s">
        <v>242</v>
      </c>
      <c r="AN122" s="305">
        <v>5453475</v>
      </c>
      <c r="AO122" s="305">
        <v>5453475</v>
      </c>
      <c r="AP122" s="303" t="s">
        <v>244</v>
      </c>
      <c r="AQ122" s="303" t="s">
        <v>245</v>
      </c>
      <c r="AR122" s="360" t="s">
        <v>246</v>
      </c>
      <c r="AS122" s="306" t="s">
        <v>247</v>
      </c>
      <c r="AT122" s="307" t="s">
        <v>372</v>
      </c>
      <c r="AU122" s="308" t="s">
        <v>248</v>
      </c>
      <c r="AV122" s="361" t="s">
        <v>249</v>
      </c>
      <c r="AW122" s="303" t="s">
        <v>244</v>
      </c>
      <c r="AX122" s="303" t="s">
        <v>244</v>
      </c>
      <c r="AY122" s="394" t="s">
        <v>250</v>
      </c>
      <c r="AZ122" s="394" t="s">
        <v>251</v>
      </c>
      <c r="BA122" s="394" t="s">
        <v>252</v>
      </c>
      <c r="BB122" s="394" t="s">
        <v>250</v>
      </c>
      <c r="BC122" s="394"/>
      <c r="BD122" s="394"/>
    </row>
    <row r="123" spans="1:56" customFormat="1" ht="48.75" customHeight="1" x14ac:dyDescent="0.25">
      <c r="A123" s="257">
        <v>121</v>
      </c>
      <c r="B123" s="299" t="s">
        <v>90</v>
      </c>
      <c r="C123" s="299" t="s">
        <v>78</v>
      </c>
      <c r="D123" s="299" t="s">
        <v>375</v>
      </c>
      <c r="E123" s="299"/>
      <c r="F123" s="350" t="s">
        <v>383</v>
      </c>
      <c r="G123" s="350" t="s">
        <v>374</v>
      </c>
      <c r="H123" s="299" t="s">
        <v>69</v>
      </c>
      <c r="I123" s="299"/>
      <c r="J123" s="251">
        <v>1967592.5925925926</v>
      </c>
      <c r="K123" s="300">
        <v>5.0000000000000044E-2</v>
      </c>
      <c r="L123" s="311">
        <v>2605993</v>
      </c>
      <c r="M123" s="299">
        <v>1</v>
      </c>
      <c r="N123" s="299" t="s">
        <v>686</v>
      </c>
      <c r="O123" s="250">
        <v>45339</v>
      </c>
      <c r="P123" s="316">
        <v>45472</v>
      </c>
      <c r="Q123" s="312">
        <v>13029965</v>
      </c>
      <c r="R123" s="317"/>
      <c r="S123" s="317"/>
      <c r="T123" s="312">
        <v>0</v>
      </c>
      <c r="U123" s="318">
        <v>5</v>
      </c>
      <c r="V123" s="352">
        <v>13029965</v>
      </c>
      <c r="W123" s="356">
        <v>1750000000</v>
      </c>
      <c r="X123" s="353">
        <v>-0.43899999999999995</v>
      </c>
      <c r="Y123" s="376"/>
      <c r="Z123" s="376" t="s">
        <v>376</v>
      </c>
      <c r="AA123" s="356">
        <v>981750000</v>
      </c>
      <c r="AB123" s="270" t="s">
        <v>243</v>
      </c>
      <c r="AC123" s="393" t="s">
        <v>373</v>
      </c>
      <c r="AD123" s="393" t="s">
        <v>361</v>
      </c>
      <c r="AE123" s="358" t="s">
        <v>244</v>
      </c>
      <c r="AF123" s="359" t="str">
        <f t="shared" si="78"/>
        <v>CLE-121</v>
      </c>
      <c r="AG123" s="270">
        <v>80111600</v>
      </c>
      <c r="AH123" s="310" t="s">
        <v>682</v>
      </c>
      <c r="AI123" s="301">
        <v>45327</v>
      </c>
      <c r="AJ123" s="301">
        <v>45327</v>
      </c>
      <c r="AK123" s="302">
        <v>5</v>
      </c>
      <c r="AL123" s="303" t="s">
        <v>241</v>
      </c>
      <c r="AM123" s="304" t="s">
        <v>242</v>
      </c>
      <c r="AN123" s="305">
        <v>13029965</v>
      </c>
      <c r="AO123" s="305">
        <v>13029965</v>
      </c>
      <c r="AP123" s="303" t="s">
        <v>244</v>
      </c>
      <c r="AQ123" s="303" t="s">
        <v>245</v>
      </c>
      <c r="AR123" s="360" t="s">
        <v>246</v>
      </c>
      <c r="AS123" s="306" t="s">
        <v>247</v>
      </c>
      <c r="AT123" s="307" t="s">
        <v>372</v>
      </c>
      <c r="AU123" s="308" t="s">
        <v>248</v>
      </c>
      <c r="AV123" s="361" t="s">
        <v>249</v>
      </c>
      <c r="AW123" s="303" t="s">
        <v>244</v>
      </c>
      <c r="AX123" s="303" t="s">
        <v>244</v>
      </c>
      <c r="AY123" s="394" t="s">
        <v>250</v>
      </c>
      <c r="AZ123" s="394" t="s">
        <v>251</v>
      </c>
      <c r="BA123" s="394" t="s">
        <v>252</v>
      </c>
      <c r="BB123" s="394" t="s">
        <v>250</v>
      </c>
      <c r="BC123" s="394"/>
      <c r="BD123" s="394"/>
    </row>
    <row r="124" spans="1:56" customFormat="1" ht="48.75" customHeight="1" x14ac:dyDescent="0.25">
      <c r="A124" s="257">
        <v>122</v>
      </c>
      <c r="B124" s="299" t="s">
        <v>90</v>
      </c>
      <c r="C124" s="299" t="s">
        <v>78</v>
      </c>
      <c r="D124" s="299" t="s">
        <v>375</v>
      </c>
      <c r="E124" s="299"/>
      <c r="F124" s="350" t="s">
        <v>383</v>
      </c>
      <c r="G124" s="350" t="s">
        <v>374</v>
      </c>
      <c r="H124" s="299" t="s">
        <v>69</v>
      </c>
      <c r="I124" s="299"/>
      <c r="J124" s="251">
        <v>1967592.5925925926</v>
      </c>
      <c r="K124" s="300">
        <v>5.0000000000000044E-2</v>
      </c>
      <c r="L124" s="311">
        <v>1490036</v>
      </c>
      <c r="M124" s="299">
        <v>1</v>
      </c>
      <c r="N124" s="299" t="s">
        <v>686</v>
      </c>
      <c r="O124" s="250">
        <v>45339</v>
      </c>
      <c r="P124" s="316">
        <v>45472</v>
      </c>
      <c r="Q124" s="312">
        <v>7450180</v>
      </c>
      <c r="R124" s="317"/>
      <c r="S124" s="317"/>
      <c r="T124" s="312">
        <v>0</v>
      </c>
      <c r="U124" s="318">
        <v>5</v>
      </c>
      <c r="V124" s="352">
        <v>7450180</v>
      </c>
      <c r="W124" s="356">
        <v>1750000000</v>
      </c>
      <c r="X124" s="353">
        <v>-0.43899999999999995</v>
      </c>
      <c r="Y124" s="376"/>
      <c r="Z124" s="376" t="s">
        <v>376</v>
      </c>
      <c r="AA124" s="356">
        <v>981750000</v>
      </c>
      <c r="AB124" s="270" t="s">
        <v>243</v>
      </c>
      <c r="AC124" s="393" t="s">
        <v>373</v>
      </c>
      <c r="AD124" s="393" t="s">
        <v>361</v>
      </c>
      <c r="AE124" s="358" t="s">
        <v>244</v>
      </c>
      <c r="AF124" s="359" t="str">
        <f t="shared" si="78"/>
        <v>CLE-122</v>
      </c>
      <c r="AG124" s="270">
        <v>80111600</v>
      </c>
      <c r="AH124" s="310" t="s">
        <v>682</v>
      </c>
      <c r="AI124" s="301">
        <v>45327</v>
      </c>
      <c r="AJ124" s="301">
        <v>45327</v>
      </c>
      <c r="AK124" s="302">
        <v>5</v>
      </c>
      <c r="AL124" s="303" t="s">
        <v>241</v>
      </c>
      <c r="AM124" s="304" t="s">
        <v>242</v>
      </c>
      <c r="AN124" s="305">
        <v>7450180</v>
      </c>
      <c r="AO124" s="305">
        <v>7450180</v>
      </c>
      <c r="AP124" s="303" t="s">
        <v>244</v>
      </c>
      <c r="AQ124" s="303" t="s">
        <v>245</v>
      </c>
      <c r="AR124" s="360" t="s">
        <v>246</v>
      </c>
      <c r="AS124" s="306" t="s">
        <v>247</v>
      </c>
      <c r="AT124" s="307" t="s">
        <v>372</v>
      </c>
      <c r="AU124" s="308" t="s">
        <v>248</v>
      </c>
      <c r="AV124" s="361" t="s">
        <v>249</v>
      </c>
      <c r="AW124" s="303" t="s">
        <v>244</v>
      </c>
      <c r="AX124" s="303" t="s">
        <v>244</v>
      </c>
      <c r="AY124" s="394" t="s">
        <v>250</v>
      </c>
      <c r="AZ124" s="394" t="s">
        <v>251</v>
      </c>
      <c r="BA124" s="394" t="s">
        <v>252</v>
      </c>
      <c r="BB124" s="394" t="s">
        <v>250</v>
      </c>
      <c r="BC124" s="394"/>
      <c r="BD124" s="394"/>
    </row>
    <row r="125" spans="1:56" customFormat="1" ht="39.75" customHeight="1" x14ac:dyDescent="0.25">
      <c r="A125" s="257">
        <v>123</v>
      </c>
      <c r="B125" s="299" t="s">
        <v>90</v>
      </c>
      <c r="C125" s="299" t="s">
        <v>78</v>
      </c>
      <c r="D125" s="299" t="s">
        <v>375</v>
      </c>
      <c r="E125" s="299"/>
      <c r="F125" s="350" t="s">
        <v>383</v>
      </c>
      <c r="G125" s="350" t="s">
        <v>374</v>
      </c>
      <c r="H125" s="299" t="s">
        <v>67</v>
      </c>
      <c r="I125" s="299"/>
      <c r="J125" s="251">
        <v>1967592.5925925926</v>
      </c>
      <c r="K125" s="300">
        <v>5.0000000000000044E-2</v>
      </c>
      <c r="L125" s="311">
        <v>1986466</v>
      </c>
      <c r="M125" s="299">
        <v>1</v>
      </c>
      <c r="N125" s="299" t="s">
        <v>686</v>
      </c>
      <c r="O125" s="250">
        <v>45339</v>
      </c>
      <c r="P125" s="316">
        <v>45472</v>
      </c>
      <c r="Q125" s="312">
        <v>9932330</v>
      </c>
      <c r="R125" s="317"/>
      <c r="S125" s="317"/>
      <c r="T125" s="312">
        <v>0</v>
      </c>
      <c r="U125" s="318">
        <v>5</v>
      </c>
      <c r="V125" s="352">
        <v>9932330</v>
      </c>
      <c r="W125" s="356">
        <v>1750000000</v>
      </c>
      <c r="X125" s="353">
        <v>-0.43899999999999995</v>
      </c>
      <c r="Y125" s="376"/>
      <c r="Z125" s="376" t="s">
        <v>376</v>
      </c>
      <c r="AA125" s="356">
        <v>981750000</v>
      </c>
      <c r="AB125" s="270" t="s">
        <v>243</v>
      </c>
      <c r="AC125" s="393" t="s">
        <v>373</v>
      </c>
      <c r="AD125" s="393" t="s">
        <v>361</v>
      </c>
      <c r="AE125" s="358" t="s">
        <v>244</v>
      </c>
      <c r="AF125" s="359" t="str">
        <f t="shared" si="78"/>
        <v>CLE-123</v>
      </c>
      <c r="AG125" s="270">
        <v>80111600</v>
      </c>
      <c r="AH125" s="310" t="s">
        <v>682</v>
      </c>
      <c r="AI125" s="301">
        <v>45327</v>
      </c>
      <c r="AJ125" s="301">
        <v>45327</v>
      </c>
      <c r="AK125" s="302">
        <v>5</v>
      </c>
      <c r="AL125" s="303" t="s">
        <v>241</v>
      </c>
      <c r="AM125" s="304" t="s">
        <v>242</v>
      </c>
      <c r="AN125" s="305">
        <v>9932330</v>
      </c>
      <c r="AO125" s="305">
        <v>9932330</v>
      </c>
      <c r="AP125" s="303" t="s">
        <v>244</v>
      </c>
      <c r="AQ125" s="303" t="s">
        <v>245</v>
      </c>
      <c r="AR125" s="360" t="s">
        <v>246</v>
      </c>
      <c r="AS125" s="306" t="s">
        <v>247</v>
      </c>
      <c r="AT125" s="307" t="s">
        <v>372</v>
      </c>
      <c r="AU125" s="308" t="s">
        <v>248</v>
      </c>
      <c r="AV125" s="361" t="s">
        <v>249</v>
      </c>
      <c r="AW125" s="303" t="s">
        <v>244</v>
      </c>
      <c r="AX125" s="303" t="s">
        <v>244</v>
      </c>
      <c r="AY125" s="394" t="s">
        <v>250</v>
      </c>
      <c r="AZ125" s="394" t="s">
        <v>251</v>
      </c>
      <c r="BA125" s="394" t="s">
        <v>252</v>
      </c>
      <c r="BB125" s="394" t="s">
        <v>250</v>
      </c>
      <c r="BC125" s="394"/>
      <c r="BD125" s="394"/>
    </row>
    <row r="126" spans="1:56" customFormat="1" ht="43.5" customHeight="1" x14ac:dyDescent="0.25">
      <c r="A126" s="257">
        <v>124</v>
      </c>
      <c r="B126" s="299" t="s">
        <v>90</v>
      </c>
      <c r="C126" s="299" t="s">
        <v>78</v>
      </c>
      <c r="D126" s="299" t="s">
        <v>375</v>
      </c>
      <c r="E126" s="299"/>
      <c r="F126" s="350" t="s">
        <v>383</v>
      </c>
      <c r="G126" s="350" t="s">
        <v>374</v>
      </c>
      <c r="H126" s="299" t="s">
        <v>69</v>
      </c>
      <c r="I126" s="299"/>
      <c r="J126" s="251">
        <v>1967592.5925925926</v>
      </c>
      <c r="K126" s="300">
        <v>5.0000000000000044E-2</v>
      </c>
      <c r="L126" s="311">
        <v>932058</v>
      </c>
      <c r="M126" s="299">
        <v>1</v>
      </c>
      <c r="N126" s="299" t="s">
        <v>686</v>
      </c>
      <c r="O126" s="250">
        <v>45339</v>
      </c>
      <c r="P126" s="316">
        <v>45472</v>
      </c>
      <c r="Q126" s="312">
        <v>4660290</v>
      </c>
      <c r="R126" s="317"/>
      <c r="S126" s="317"/>
      <c r="T126" s="312">
        <v>0</v>
      </c>
      <c r="U126" s="318">
        <v>5</v>
      </c>
      <c r="V126" s="352">
        <v>4660290</v>
      </c>
      <c r="W126" s="356">
        <v>1750000000</v>
      </c>
      <c r="X126" s="353">
        <v>-0.43899999999999995</v>
      </c>
      <c r="Y126" s="376"/>
      <c r="Z126" s="376" t="s">
        <v>376</v>
      </c>
      <c r="AA126" s="356">
        <v>981750000</v>
      </c>
      <c r="AB126" s="270" t="s">
        <v>243</v>
      </c>
      <c r="AC126" s="393" t="s">
        <v>373</v>
      </c>
      <c r="AD126" s="393" t="s">
        <v>361</v>
      </c>
      <c r="AE126" s="358" t="s">
        <v>244</v>
      </c>
      <c r="AF126" s="359" t="str">
        <f t="shared" si="78"/>
        <v>CLE-124</v>
      </c>
      <c r="AG126" s="270">
        <v>80111600</v>
      </c>
      <c r="AH126" s="310" t="s">
        <v>682</v>
      </c>
      <c r="AI126" s="301">
        <v>45327</v>
      </c>
      <c r="AJ126" s="301">
        <v>45327</v>
      </c>
      <c r="AK126" s="302">
        <v>5</v>
      </c>
      <c r="AL126" s="303" t="s">
        <v>241</v>
      </c>
      <c r="AM126" s="304" t="s">
        <v>242</v>
      </c>
      <c r="AN126" s="305">
        <v>4660290</v>
      </c>
      <c r="AO126" s="305">
        <v>4660290</v>
      </c>
      <c r="AP126" s="303" t="s">
        <v>244</v>
      </c>
      <c r="AQ126" s="303" t="s">
        <v>245</v>
      </c>
      <c r="AR126" s="360" t="s">
        <v>246</v>
      </c>
      <c r="AS126" s="306" t="s">
        <v>247</v>
      </c>
      <c r="AT126" s="307" t="s">
        <v>372</v>
      </c>
      <c r="AU126" s="308" t="s">
        <v>248</v>
      </c>
      <c r="AV126" s="361" t="s">
        <v>249</v>
      </c>
      <c r="AW126" s="303" t="s">
        <v>244</v>
      </c>
      <c r="AX126" s="303" t="s">
        <v>244</v>
      </c>
      <c r="AY126" s="394" t="s">
        <v>250</v>
      </c>
      <c r="AZ126" s="394" t="s">
        <v>251</v>
      </c>
      <c r="BA126" s="394" t="s">
        <v>252</v>
      </c>
      <c r="BB126" s="394" t="s">
        <v>250</v>
      </c>
      <c r="BC126" s="394"/>
      <c r="BD126" s="394"/>
    </row>
    <row r="127" spans="1:56" customFormat="1" ht="38.25" customHeight="1" x14ac:dyDescent="0.25">
      <c r="A127" s="257">
        <v>125</v>
      </c>
      <c r="B127" s="299" t="s">
        <v>90</v>
      </c>
      <c r="C127" s="299" t="s">
        <v>78</v>
      </c>
      <c r="D127" s="299" t="s">
        <v>375</v>
      </c>
      <c r="E127" s="299"/>
      <c r="F127" s="350" t="s">
        <v>383</v>
      </c>
      <c r="G127" s="350" t="s">
        <v>374</v>
      </c>
      <c r="H127" s="299" t="s">
        <v>67</v>
      </c>
      <c r="I127" s="299"/>
      <c r="J127" s="251">
        <v>1967592.5925925926</v>
      </c>
      <c r="K127" s="300">
        <v>5.0000000000000044E-2</v>
      </c>
      <c r="L127" s="311">
        <v>1807312</v>
      </c>
      <c r="M127" s="299">
        <v>1</v>
      </c>
      <c r="N127" s="299" t="s">
        <v>686</v>
      </c>
      <c r="O127" s="250">
        <v>45339</v>
      </c>
      <c r="P127" s="316">
        <v>45472</v>
      </c>
      <c r="Q127" s="312">
        <v>9036560</v>
      </c>
      <c r="R127" s="317"/>
      <c r="S127" s="317"/>
      <c r="T127" s="312">
        <v>0</v>
      </c>
      <c r="U127" s="318">
        <v>5</v>
      </c>
      <c r="V127" s="352">
        <v>9036560</v>
      </c>
      <c r="W127" s="356">
        <v>1750000000</v>
      </c>
      <c r="X127" s="353">
        <v>-0.43899999999999995</v>
      </c>
      <c r="Y127" s="376"/>
      <c r="Z127" s="376" t="s">
        <v>376</v>
      </c>
      <c r="AA127" s="356">
        <v>981750000</v>
      </c>
      <c r="AB127" s="270" t="s">
        <v>243</v>
      </c>
      <c r="AC127" s="393" t="s">
        <v>373</v>
      </c>
      <c r="AD127" s="393" t="s">
        <v>361</v>
      </c>
      <c r="AE127" s="358" t="s">
        <v>244</v>
      </c>
      <c r="AF127" s="359" t="str">
        <f t="shared" si="78"/>
        <v>CLE-125</v>
      </c>
      <c r="AG127" s="270">
        <v>80111600</v>
      </c>
      <c r="AH127" s="310" t="s">
        <v>682</v>
      </c>
      <c r="AI127" s="301">
        <v>45327</v>
      </c>
      <c r="AJ127" s="301">
        <v>45327</v>
      </c>
      <c r="AK127" s="302">
        <v>5</v>
      </c>
      <c r="AL127" s="303" t="s">
        <v>241</v>
      </c>
      <c r="AM127" s="304" t="s">
        <v>242</v>
      </c>
      <c r="AN127" s="305">
        <v>9036560</v>
      </c>
      <c r="AO127" s="305">
        <v>9036560</v>
      </c>
      <c r="AP127" s="303" t="s">
        <v>244</v>
      </c>
      <c r="AQ127" s="303" t="s">
        <v>245</v>
      </c>
      <c r="AR127" s="360" t="s">
        <v>246</v>
      </c>
      <c r="AS127" s="306" t="s">
        <v>247</v>
      </c>
      <c r="AT127" s="307" t="s">
        <v>372</v>
      </c>
      <c r="AU127" s="308" t="s">
        <v>248</v>
      </c>
      <c r="AV127" s="361" t="s">
        <v>249</v>
      </c>
      <c r="AW127" s="303" t="s">
        <v>244</v>
      </c>
      <c r="AX127" s="303" t="s">
        <v>244</v>
      </c>
      <c r="AY127" s="394" t="s">
        <v>250</v>
      </c>
      <c r="AZ127" s="394" t="s">
        <v>251</v>
      </c>
      <c r="BA127" s="394" t="s">
        <v>252</v>
      </c>
      <c r="BB127" s="394" t="s">
        <v>250</v>
      </c>
      <c r="BC127" s="394"/>
      <c r="BD127" s="394"/>
    </row>
    <row r="128" spans="1:56" customFormat="1" ht="43.5" customHeight="1" x14ac:dyDescent="0.25">
      <c r="A128" s="257">
        <v>126</v>
      </c>
      <c r="B128" s="299" t="s">
        <v>90</v>
      </c>
      <c r="C128" s="299" t="s">
        <v>78</v>
      </c>
      <c r="D128" s="299" t="s">
        <v>375</v>
      </c>
      <c r="E128" s="299"/>
      <c r="F128" s="350" t="s">
        <v>383</v>
      </c>
      <c r="G128" s="350" t="s">
        <v>374</v>
      </c>
      <c r="H128" s="299" t="s">
        <v>69</v>
      </c>
      <c r="I128" s="299"/>
      <c r="J128" s="251">
        <v>1967592.5925925926</v>
      </c>
      <c r="K128" s="300">
        <v>5.0000000000000044E-2</v>
      </c>
      <c r="L128" s="311">
        <v>932058</v>
      </c>
      <c r="M128" s="299">
        <v>1</v>
      </c>
      <c r="N128" s="299" t="s">
        <v>686</v>
      </c>
      <c r="O128" s="250">
        <v>45339</v>
      </c>
      <c r="P128" s="316">
        <v>45472</v>
      </c>
      <c r="Q128" s="312">
        <v>4660290</v>
      </c>
      <c r="R128" s="317"/>
      <c r="S128" s="317"/>
      <c r="T128" s="312">
        <v>0</v>
      </c>
      <c r="U128" s="318">
        <v>5</v>
      </c>
      <c r="V128" s="352">
        <v>4660290</v>
      </c>
      <c r="W128" s="356">
        <v>1750000000</v>
      </c>
      <c r="X128" s="353">
        <v>-0.43899999999999995</v>
      </c>
      <c r="Y128" s="376"/>
      <c r="Z128" s="376" t="s">
        <v>376</v>
      </c>
      <c r="AA128" s="356">
        <v>981750000</v>
      </c>
      <c r="AB128" s="270" t="s">
        <v>243</v>
      </c>
      <c r="AC128" s="393" t="s">
        <v>373</v>
      </c>
      <c r="AD128" s="393" t="s">
        <v>361</v>
      </c>
      <c r="AE128" s="358" t="s">
        <v>244</v>
      </c>
      <c r="AF128" s="359" t="str">
        <f t="shared" si="78"/>
        <v>CLE-126</v>
      </c>
      <c r="AG128" s="270">
        <v>80111600</v>
      </c>
      <c r="AH128" s="310" t="s">
        <v>682</v>
      </c>
      <c r="AI128" s="301">
        <v>45327</v>
      </c>
      <c r="AJ128" s="301">
        <v>45327</v>
      </c>
      <c r="AK128" s="302">
        <v>5</v>
      </c>
      <c r="AL128" s="303" t="s">
        <v>241</v>
      </c>
      <c r="AM128" s="304" t="s">
        <v>242</v>
      </c>
      <c r="AN128" s="305">
        <v>4660290</v>
      </c>
      <c r="AO128" s="305">
        <v>4660290</v>
      </c>
      <c r="AP128" s="303" t="s">
        <v>244</v>
      </c>
      <c r="AQ128" s="303" t="s">
        <v>245</v>
      </c>
      <c r="AR128" s="360" t="s">
        <v>246</v>
      </c>
      <c r="AS128" s="306" t="s">
        <v>247</v>
      </c>
      <c r="AT128" s="307" t="s">
        <v>372</v>
      </c>
      <c r="AU128" s="308" t="s">
        <v>248</v>
      </c>
      <c r="AV128" s="361" t="s">
        <v>249</v>
      </c>
      <c r="AW128" s="303" t="s">
        <v>244</v>
      </c>
      <c r="AX128" s="303" t="s">
        <v>244</v>
      </c>
      <c r="AY128" s="394" t="s">
        <v>250</v>
      </c>
      <c r="AZ128" s="394" t="s">
        <v>251</v>
      </c>
      <c r="BA128" s="394" t="s">
        <v>252</v>
      </c>
      <c r="BB128" s="394" t="s">
        <v>250</v>
      </c>
      <c r="BC128" s="394"/>
      <c r="BD128" s="394"/>
    </row>
    <row r="129" spans="1:56" customFormat="1" ht="36" customHeight="1" x14ac:dyDescent="0.25">
      <c r="A129" s="257">
        <v>127</v>
      </c>
      <c r="B129" s="299" t="s">
        <v>90</v>
      </c>
      <c r="C129" s="299" t="s">
        <v>78</v>
      </c>
      <c r="D129" s="299" t="s">
        <v>375</v>
      </c>
      <c r="E129" s="299"/>
      <c r="F129" s="350" t="s">
        <v>383</v>
      </c>
      <c r="G129" s="350" t="s">
        <v>374</v>
      </c>
      <c r="H129" s="299" t="s">
        <v>69</v>
      </c>
      <c r="I129" s="299"/>
      <c r="J129" s="251">
        <v>1967592.5925925926</v>
      </c>
      <c r="K129" s="300">
        <v>5.0000000000000044E-2</v>
      </c>
      <c r="L129" s="311">
        <v>1490036</v>
      </c>
      <c r="M129" s="299">
        <v>1</v>
      </c>
      <c r="N129" s="299" t="s">
        <v>686</v>
      </c>
      <c r="O129" s="250">
        <v>45339</v>
      </c>
      <c r="P129" s="316">
        <v>45472</v>
      </c>
      <c r="Q129" s="312">
        <v>7450180</v>
      </c>
      <c r="R129" s="317"/>
      <c r="S129" s="317"/>
      <c r="T129" s="312">
        <v>0</v>
      </c>
      <c r="U129" s="318">
        <v>5</v>
      </c>
      <c r="V129" s="352">
        <v>7450180</v>
      </c>
      <c r="W129" s="356">
        <v>1750000000</v>
      </c>
      <c r="X129" s="353">
        <v>-0.43899999999999995</v>
      </c>
      <c r="Y129" s="376"/>
      <c r="Z129" s="376" t="s">
        <v>376</v>
      </c>
      <c r="AA129" s="356">
        <v>981750000</v>
      </c>
      <c r="AB129" s="270" t="s">
        <v>243</v>
      </c>
      <c r="AC129" s="393" t="s">
        <v>373</v>
      </c>
      <c r="AD129" s="393" t="s">
        <v>361</v>
      </c>
      <c r="AE129" s="358" t="s">
        <v>244</v>
      </c>
      <c r="AF129" s="359" t="str">
        <f t="shared" si="78"/>
        <v>CLE-127</v>
      </c>
      <c r="AG129" s="270">
        <v>80111600</v>
      </c>
      <c r="AH129" s="310" t="s">
        <v>682</v>
      </c>
      <c r="AI129" s="301">
        <v>45327</v>
      </c>
      <c r="AJ129" s="301">
        <v>45327</v>
      </c>
      <c r="AK129" s="302">
        <v>5</v>
      </c>
      <c r="AL129" s="303" t="s">
        <v>241</v>
      </c>
      <c r="AM129" s="304" t="s">
        <v>242</v>
      </c>
      <c r="AN129" s="305">
        <v>7450180</v>
      </c>
      <c r="AO129" s="305">
        <v>7450180</v>
      </c>
      <c r="AP129" s="303" t="s">
        <v>244</v>
      </c>
      <c r="AQ129" s="303" t="s">
        <v>245</v>
      </c>
      <c r="AR129" s="360" t="s">
        <v>246</v>
      </c>
      <c r="AS129" s="306" t="s">
        <v>247</v>
      </c>
      <c r="AT129" s="307" t="s">
        <v>372</v>
      </c>
      <c r="AU129" s="308" t="s">
        <v>248</v>
      </c>
      <c r="AV129" s="361" t="s">
        <v>249</v>
      </c>
      <c r="AW129" s="303" t="s">
        <v>244</v>
      </c>
      <c r="AX129" s="303" t="s">
        <v>244</v>
      </c>
      <c r="AY129" s="394" t="s">
        <v>250</v>
      </c>
      <c r="AZ129" s="394" t="s">
        <v>251</v>
      </c>
      <c r="BA129" s="394" t="s">
        <v>252</v>
      </c>
      <c r="BB129" s="394" t="s">
        <v>250</v>
      </c>
      <c r="BC129" s="394"/>
      <c r="BD129" s="394"/>
    </row>
    <row r="130" spans="1:56" customFormat="1" ht="48" x14ac:dyDescent="0.25">
      <c r="A130" s="257">
        <v>128</v>
      </c>
      <c r="B130" s="299" t="s">
        <v>90</v>
      </c>
      <c r="C130" s="299" t="s">
        <v>78</v>
      </c>
      <c r="D130" s="299" t="s">
        <v>375</v>
      </c>
      <c r="E130" s="299"/>
      <c r="F130" s="350" t="s">
        <v>383</v>
      </c>
      <c r="G130" s="350" t="s">
        <v>374</v>
      </c>
      <c r="H130" s="299" t="s">
        <v>67</v>
      </c>
      <c r="I130" s="299"/>
      <c r="J130" s="251">
        <v>1967592.5925925926</v>
      </c>
      <c r="K130" s="300">
        <v>5.0000000000000044E-2</v>
      </c>
      <c r="L130" s="311">
        <v>1090695</v>
      </c>
      <c r="M130" s="299">
        <v>1</v>
      </c>
      <c r="N130" s="299" t="s">
        <v>686</v>
      </c>
      <c r="O130" s="250">
        <v>45339</v>
      </c>
      <c r="P130" s="316">
        <v>45472</v>
      </c>
      <c r="Q130" s="312">
        <v>5453475</v>
      </c>
      <c r="R130" s="317"/>
      <c r="S130" s="317"/>
      <c r="T130" s="312">
        <v>0</v>
      </c>
      <c r="U130" s="318">
        <v>5</v>
      </c>
      <c r="V130" s="352">
        <v>5453475</v>
      </c>
      <c r="W130" s="356">
        <v>1750000000</v>
      </c>
      <c r="X130" s="353">
        <v>-0.43899999999999995</v>
      </c>
      <c r="Y130" s="376"/>
      <c r="Z130" s="376" t="s">
        <v>376</v>
      </c>
      <c r="AA130" s="356">
        <v>981750000</v>
      </c>
      <c r="AB130" s="270" t="s">
        <v>243</v>
      </c>
      <c r="AC130" s="393" t="s">
        <v>373</v>
      </c>
      <c r="AD130" s="393" t="s">
        <v>361</v>
      </c>
      <c r="AE130" s="358" t="s">
        <v>244</v>
      </c>
      <c r="AF130" s="359" t="str">
        <f t="shared" si="78"/>
        <v>CLE-128</v>
      </c>
      <c r="AG130" s="270">
        <v>80111600</v>
      </c>
      <c r="AH130" s="310" t="s">
        <v>682</v>
      </c>
      <c r="AI130" s="301">
        <v>45327</v>
      </c>
      <c r="AJ130" s="301">
        <v>45327</v>
      </c>
      <c r="AK130" s="302">
        <v>5</v>
      </c>
      <c r="AL130" s="303" t="s">
        <v>241</v>
      </c>
      <c r="AM130" s="304" t="s">
        <v>242</v>
      </c>
      <c r="AN130" s="305">
        <v>5453475</v>
      </c>
      <c r="AO130" s="305">
        <v>5453475</v>
      </c>
      <c r="AP130" s="303" t="s">
        <v>244</v>
      </c>
      <c r="AQ130" s="303" t="s">
        <v>245</v>
      </c>
      <c r="AR130" s="360" t="s">
        <v>246</v>
      </c>
      <c r="AS130" s="306" t="s">
        <v>247</v>
      </c>
      <c r="AT130" s="307" t="s">
        <v>372</v>
      </c>
      <c r="AU130" s="308" t="s">
        <v>248</v>
      </c>
      <c r="AV130" s="361" t="s">
        <v>249</v>
      </c>
      <c r="AW130" s="303" t="s">
        <v>244</v>
      </c>
      <c r="AX130" s="303" t="s">
        <v>244</v>
      </c>
      <c r="AY130" s="394" t="s">
        <v>250</v>
      </c>
      <c r="AZ130" s="394" t="s">
        <v>251</v>
      </c>
      <c r="BA130" s="394" t="s">
        <v>252</v>
      </c>
      <c r="BB130" s="394" t="s">
        <v>250</v>
      </c>
      <c r="BC130" s="394"/>
      <c r="BD130" s="394"/>
    </row>
    <row r="131" spans="1:56" customFormat="1" ht="48" x14ac:dyDescent="0.25">
      <c r="A131" s="257">
        <v>129</v>
      </c>
      <c r="B131" s="299" t="s">
        <v>90</v>
      </c>
      <c r="C131" s="299" t="s">
        <v>78</v>
      </c>
      <c r="D131" s="299" t="s">
        <v>375</v>
      </c>
      <c r="E131" s="299"/>
      <c r="F131" s="350" t="s">
        <v>383</v>
      </c>
      <c r="G131" s="350" t="s">
        <v>374</v>
      </c>
      <c r="H131" s="299" t="s">
        <v>67</v>
      </c>
      <c r="I131" s="299"/>
      <c r="J131" s="251">
        <v>1967592.5925925926</v>
      </c>
      <c r="K131" s="300">
        <v>5.0000000000000044E-2</v>
      </c>
      <c r="L131" s="311">
        <v>1090695</v>
      </c>
      <c r="M131" s="299">
        <v>1</v>
      </c>
      <c r="N131" s="299" t="s">
        <v>686</v>
      </c>
      <c r="O131" s="250">
        <v>45339</v>
      </c>
      <c r="P131" s="316">
        <v>45472</v>
      </c>
      <c r="Q131" s="312">
        <v>5453475</v>
      </c>
      <c r="R131" s="317"/>
      <c r="S131" s="317"/>
      <c r="T131" s="312">
        <v>0</v>
      </c>
      <c r="U131" s="318">
        <v>5</v>
      </c>
      <c r="V131" s="352">
        <v>5453475</v>
      </c>
      <c r="W131" s="356">
        <v>1750000000</v>
      </c>
      <c r="X131" s="353">
        <v>-0.43899999999999995</v>
      </c>
      <c r="Y131" s="376"/>
      <c r="Z131" s="376" t="s">
        <v>376</v>
      </c>
      <c r="AA131" s="356">
        <v>981750000</v>
      </c>
      <c r="AB131" s="270" t="s">
        <v>243</v>
      </c>
      <c r="AC131" s="393" t="s">
        <v>373</v>
      </c>
      <c r="AD131" s="393" t="s">
        <v>361</v>
      </c>
      <c r="AE131" s="358" t="s">
        <v>244</v>
      </c>
      <c r="AF131" s="359" t="str">
        <f t="shared" si="78"/>
        <v>CLE-129</v>
      </c>
      <c r="AG131" s="270">
        <v>80111600</v>
      </c>
      <c r="AH131" s="310" t="s">
        <v>682</v>
      </c>
      <c r="AI131" s="301">
        <v>45327</v>
      </c>
      <c r="AJ131" s="301">
        <v>45327</v>
      </c>
      <c r="AK131" s="302">
        <v>5</v>
      </c>
      <c r="AL131" s="303" t="s">
        <v>241</v>
      </c>
      <c r="AM131" s="304" t="s">
        <v>242</v>
      </c>
      <c r="AN131" s="305">
        <v>5453475</v>
      </c>
      <c r="AO131" s="305">
        <v>5453475</v>
      </c>
      <c r="AP131" s="303" t="s">
        <v>244</v>
      </c>
      <c r="AQ131" s="303" t="s">
        <v>245</v>
      </c>
      <c r="AR131" s="360" t="s">
        <v>246</v>
      </c>
      <c r="AS131" s="306" t="s">
        <v>247</v>
      </c>
      <c r="AT131" s="307" t="s">
        <v>372</v>
      </c>
      <c r="AU131" s="308" t="s">
        <v>248</v>
      </c>
      <c r="AV131" s="361" t="s">
        <v>249</v>
      </c>
      <c r="AW131" s="303" t="s">
        <v>244</v>
      </c>
      <c r="AX131" s="303" t="s">
        <v>244</v>
      </c>
      <c r="AY131" s="394" t="s">
        <v>250</v>
      </c>
      <c r="AZ131" s="394" t="s">
        <v>251</v>
      </c>
      <c r="BA131" s="394" t="s">
        <v>252</v>
      </c>
      <c r="BB131" s="394" t="s">
        <v>250</v>
      </c>
      <c r="BC131" s="394"/>
      <c r="BD131" s="394"/>
    </row>
    <row r="132" spans="1:56" customFormat="1" ht="45" customHeight="1" x14ac:dyDescent="0.25">
      <c r="A132" s="257">
        <v>130</v>
      </c>
      <c r="B132" s="299" t="s">
        <v>90</v>
      </c>
      <c r="C132" s="299" t="s">
        <v>78</v>
      </c>
      <c r="D132" s="299" t="s">
        <v>375</v>
      </c>
      <c r="E132" s="299"/>
      <c r="F132" s="350" t="s">
        <v>383</v>
      </c>
      <c r="G132" s="350" t="s">
        <v>374</v>
      </c>
      <c r="H132" s="299" t="s">
        <v>69</v>
      </c>
      <c r="I132" s="299"/>
      <c r="J132" s="251">
        <v>1967592.5925925926</v>
      </c>
      <c r="K132" s="300">
        <v>5.0000000000000044E-2</v>
      </c>
      <c r="L132" s="311">
        <v>932058</v>
      </c>
      <c r="M132" s="299">
        <v>1</v>
      </c>
      <c r="N132" s="299" t="s">
        <v>686</v>
      </c>
      <c r="O132" s="250">
        <v>45339</v>
      </c>
      <c r="P132" s="316">
        <v>45472</v>
      </c>
      <c r="Q132" s="312">
        <v>4660290</v>
      </c>
      <c r="R132" s="317"/>
      <c r="S132" s="317"/>
      <c r="T132" s="312">
        <v>0</v>
      </c>
      <c r="U132" s="318">
        <v>5</v>
      </c>
      <c r="V132" s="352">
        <v>4660290</v>
      </c>
      <c r="W132" s="356">
        <v>1750000000</v>
      </c>
      <c r="X132" s="353">
        <v>-0.43899999999999995</v>
      </c>
      <c r="Y132" s="376"/>
      <c r="Z132" s="376" t="s">
        <v>376</v>
      </c>
      <c r="AA132" s="356">
        <v>981750000</v>
      </c>
      <c r="AB132" s="270" t="s">
        <v>243</v>
      </c>
      <c r="AC132" s="393" t="s">
        <v>373</v>
      </c>
      <c r="AD132" s="393" t="s">
        <v>361</v>
      </c>
      <c r="AE132" s="358" t="s">
        <v>244</v>
      </c>
      <c r="AF132" s="359" t="str">
        <f t="shared" si="78"/>
        <v>CLE-130</v>
      </c>
      <c r="AG132" s="270">
        <v>80111600</v>
      </c>
      <c r="AH132" s="310" t="s">
        <v>682</v>
      </c>
      <c r="AI132" s="301">
        <v>45327</v>
      </c>
      <c r="AJ132" s="301">
        <v>45327</v>
      </c>
      <c r="AK132" s="302">
        <v>5</v>
      </c>
      <c r="AL132" s="303" t="s">
        <v>241</v>
      </c>
      <c r="AM132" s="304" t="s">
        <v>242</v>
      </c>
      <c r="AN132" s="305">
        <v>4660290</v>
      </c>
      <c r="AO132" s="305">
        <v>4660290</v>
      </c>
      <c r="AP132" s="303" t="s">
        <v>244</v>
      </c>
      <c r="AQ132" s="303" t="s">
        <v>245</v>
      </c>
      <c r="AR132" s="360" t="s">
        <v>246</v>
      </c>
      <c r="AS132" s="306" t="s">
        <v>247</v>
      </c>
      <c r="AT132" s="307" t="s">
        <v>372</v>
      </c>
      <c r="AU132" s="308" t="s">
        <v>248</v>
      </c>
      <c r="AV132" s="361" t="s">
        <v>249</v>
      </c>
      <c r="AW132" s="303" t="s">
        <v>244</v>
      </c>
      <c r="AX132" s="303" t="s">
        <v>244</v>
      </c>
      <c r="AY132" s="394" t="s">
        <v>250</v>
      </c>
      <c r="AZ132" s="394" t="s">
        <v>251</v>
      </c>
      <c r="BA132" s="394" t="s">
        <v>252</v>
      </c>
      <c r="BB132" s="394" t="s">
        <v>250</v>
      </c>
      <c r="BC132" s="394"/>
      <c r="BD132" s="394"/>
    </row>
    <row r="133" spans="1:56" customFormat="1" ht="48" x14ac:dyDescent="0.25">
      <c r="A133" s="257">
        <v>131</v>
      </c>
      <c r="B133" s="299" t="s">
        <v>90</v>
      </c>
      <c r="C133" s="299" t="s">
        <v>78</v>
      </c>
      <c r="D133" s="299" t="s">
        <v>375</v>
      </c>
      <c r="E133" s="299"/>
      <c r="F133" s="350" t="s">
        <v>383</v>
      </c>
      <c r="G133" s="350" t="s">
        <v>374</v>
      </c>
      <c r="H133" s="299" t="s">
        <v>69</v>
      </c>
      <c r="I133" s="299"/>
      <c r="J133" s="251">
        <v>1967592.5925925926</v>
      </c>
      <c r="K133" s="300">
        <v>5.0000000000000044E-2</v>
      </c>
      <c r="L133" s="311">
        <v>932058</v>
      </c>
      <c r="M133" s="299">
        <v>1</v>
      </c>
      <c r="N133" s="299" t="s">
        <v>686</v>
      </c>
      <c r="O133" s="250">
        <v>45339</v>
      </c>
      <c r="P133" s="316">
        <v>45472</v>
      </c>
      <c r="Q133" s="312">
        <v>4660290</v>
      </c>
      <c r="R133" s="317"/>
      <c r="S133" s="317"/>
      <c r="T133" s="312">
        <v>0</v>
      </c>
      <c r="U133" s="318">
        <v>5</v>
      </c>
      <c r="V133" s="352">
        <v>4660290</v>
      </c>
      <c r="W133" s="356">
        <v>1750000000</v>
      </c>
      <c r="X133" s="353">
        <v>-0.43899999999999995</v>
      </c>
      <c r="Y133" s="376"/>
      <c r="Z133" s="376" t="s">
        <v>376</v>
      </c>
      <c r="AA133" s="356">
        <v>981750000</v>
      </c>
      <c r="AB133" s="270" t="s">
        <v>243</v>
      </c>
      <c r="AC133" s="393" t="s">
        <v>373</v>
      </c>
      <c r="AD133" s="393" t="s">
        <v>361</v>
      </c>
      <c r="AE133" s="358" t="s">
        <v>244</v>
      </c>
      <c r="AF133" s="359" t="str">
        <f t="shared" si="78"/>
        <v>CLE-131</v>
      </c>
      <c r="AG133" s="270">
        <v>80111600</v>
      </c>
      <c r="AH133" s="310" t="s">
        <v>682</v>
      </c>
      <c r="AI133" s="301">
        <v>45327</v>
      </c>
      <c r="AJ133" s="301">
        <v>45327</v>
      </c>
      <c r="AK133" s="302">
        <v>5</v>
      </c>
      <c r="AL133" s="303" t="s">
        <v>241</v>
      </c>
      <c r="AM133" s="304" t="s">
        <v>242</v>
      </c>
      <c r="AN133" s="305">
        <v>4660290</v>
      </c>
      <c r="AO133" s="305">
        <v>4660290</v>
      </c>
      <c r="AP133" s="303" t="s">
        <v>244</v>
      </c>
      <c r="AQ133" s="303" t="s">
        <v>245</v>
      </c>
      <c r="AR133" s="360" t="s">
        <v>246</v>
      </c>
      <c r="AS133" s="306" t="s">
        <v>247</v>
      </c>
      <c r="AT133" s="307" t="s">
        <v>372</v>
      </c>
      <c r="AU133" s="308" t="s">
        <v>248</v>
      </c>
      <c r="AV133" s="361" t="s">
        <v>249</v>
      </c>
      <c r="AW133" s="303" t="s">
        <v>244</v>
      </c>
      <c r="AX133" s="303" t="s">
        <v>244</v>
      </c>
      <c r="AY133" s="394" t="s">
        <v>250</v>
      </c>
      <c r="AZ133" s="394" t="s">
        <v>251</v>
      </c>
      <c r="BA133" s="394" t="s">
        <v>252</v>
      </c>
      <c r="BB133" s="394" t="s">
        <v>250</v>
      </c>
      <c r="BC133" s="394"/>
      <c r="BD133" s="394"/>
    </row>
    <row r="134" spans="1:56" customFormat="1" ht="48" x14ac:dyDescent="0.25">
      <c r="A134" s="257">
        <v>132</v>
      </c>
      <c r="B134" s="299" t="s">
        <v>90</v>
      </c>
      <c r="C134" s="299" t="s">
        <v>78</v>
      </c>
      <c r="D134" s="299" t="s">
        <v>375</v>
      </c>
      <c r="E134" s="299"/>
      <c r="F134" s="350" t="s">
        <v>383</v>
      </c>
      <c r="G134" s="350" t="s">
        <v>374</v>
      </c>
      <c r="H134" s="299" t="s">
        <v>69</v>
      </c>
      <c r="I134" s="299"/>
      <c r="J134" s="251">
        <v>1967592.5925925926</v>
      </c>
      <c r="K134" s="300">
        <v>5.0000000000000044E-2</v>
      </c>
      <c r="L134" s="311">
        <v>932058</v>
      </c>
      <c r="M134" s="299">
        <v>1</v>
      </c>
      <c r="N134" s="299" t="s">
        <v>686</v>
      </c>
      <c r="O134" s="250">
        <v>45339</v>
      </c>
      <c r="P134" s="316">
        <v>45472</v>
      </c>
      <c r="Q134" s="312">
        <v>4660290</v>
      </c>
      <c r="R134" s="317"/>
      <c r="S134" s="317"/>
      <c r="T134" s="312">
        <v>0</v>
      </c>
      <c r="U134" s="318">
        <v>5</v>
      </c>
      <c r="V134" s="352">
        <v>4660290</v>
      </c>
      <c r="W134" s="356">
        <v>1750000000</v>
      </c>
      <c r="X134" s="353">
        <v>-0.43899999999999995</v>
      </c>
      <c r="Y134" s="376"/>
      <c r="Z134" s="376" t="s">
        <v>376</v>
      </c>
      <c r="AA134" s="356">
        <v>981750000</v>
      </c>
      <c r="AB134" s="270" t="s">
        <v>243</v>
      </c>
      <c r="AC134" s="393" t="s">
        <v>373</v>
      </c>
      <c r="AD134" s="393" t="s">
        <v>361</v>
      </c>
      <c r="AE134" s="358" t="s">
        <v>244</v>
      </c>
      <c r="AF134" s="359" t="str">
        <f t="shared" si="78"/>
        <v>CLE-132</v>
      </c>
      <c r="AG134" s="270">
        <v>80111600</v>
      </c>
      <c r="AH134" s="310" t="s">
        <v>682</v>
      </c>
      <c r="AI134" s="301">
        <v>45327</v>
      </c>
      <c r="AJ134" s="301">
        <v>45327</v>
      </c>
      <c r="AK134" s="302">
        <v>5</v>
      </c>
      <c r="AL134" s="303" t="s">
        <v>241</v>
      </c>
      <c r="AM134" s="304" t="s">
        <v>242</v>
      </c>
      <c r="AN134" s="305">
        <v>4660290</v>
      </c>
      <c r="AO134" s="305">
        <v>4660290</v>
      </c>
      <c r="AP134" s="303" t="s">
        <v>244</v>
      </c>
      <c r="AQ134" s="303" t="s">
        <v>245</v>
      </c>
      <c r="AR134" s="360" t="s">
        <v>246</v>
      </c>
      <c r="AS134" s="306" t="s">
        <v>247</v>
      </c>
      <c r="AT134" s="307" t="s">
        <v>372</v>
      </c>
      <c r="AU134" s="308" t="s">
        <v>248</v>
      </c>
      <c r="AV134" s="361" t="s">
        <v>249</v>
      </c>
      <c r="AW134" s="303" t="s">
        <v>244</v>
      </c>
      <c r="AX134" s="303" t="s">
        <v>244</v>
      </c>
      <c r="AY134" s="394" t="s">
        <v>250</v>
      </c>
      <c r="AZ134" s="394" t="s">
        <v>251</v>
      </c>
      <c r="BA134" s="394" t="s">
        <v>252</v>
      </c>
      <c r="BB134" s="394" t="s">
        <v>250</v>
      </c>
      <c r="BC134" s="394"/>
      <c r="BD134" s="394"/>
    </row>
    <row r="135" spans="1:56" customFormat="1" ht="36" customHeight="1" x14ac:dyDescent="0.25">
      <c r="A135" s="257">
        <v>133</v>
      </c>
      <c r="B135" s="299" t="s">
        <v>90</v>
      </c>
      <c r="C135" s="299" t="s">
        <v>78</v>
      </c>
      <c r="D135" s="299" t="s">
        <v>375</v>
      </c>
      <c r="E135" s="299"/>
      <c r="F135" s="350" t="s">
        <v>383</v>
      </c>
      <c r="G135" s="350" t="s">
        <v>374</v>
      </c>
      <c r="H135" s="299" t="s">
        <v>67</v>
      </c>
      <c r="I135" s="299"/>
      <c r="J135" s="251">
        <v>1967592.5925925926</v>
      </c>
      <c r="K135" s="300">
        <v>5.0000000000000044E-2</v>
      </c>
      <c r="L135" s="311">
        <v>1090695</v>
      </c>
      <c r="M135" s="299">
        <v>1</v>
      </c>
      <c r="N135" s="299" t="s">
        <v>686</v>
      </c>
      <c r="O135" s="250">
        <v>45339</v>
      </c>
      <c r="P135" s="316">
        <v>45472</v>
      </c>
      <c r="Q135" s="312">
        <v>5453475</v>
      </c>
      <c r="R135" s="317"/>
      <c r="S135" s="317"/>
      <c r="T135" s="312">
        <v>0</v>
      </c>
      <c r="U135" s="318">
        <v>5</v>
      </c>
      <c r="V135" s="352">
        <v>5453475</v>
      </c>
      <c r="W135" s="356">
        <v>1750000000</v>
      </c>
      <c r="X135" s="353">
        <v>-0.43899999999999995</v>
      </c>
      <c r="Y135" s="376"/>
      <c r="Z135" s="376" t="s">
        <v>376</v>
      </c>
      <c r="AA135" s="356">
        <v>981750000</v>
      </c>
      <c r="AB135" s="270" t="s">
        <v>243</v>
      </c>
      <c r="AC135" s="393" t="s">
        <v>373</v>
      </c>
      <c r="AD135" s="393" t="s">
        <v>361</v>
      </c>
      <c r="AE135" s="358" t="s">
        <v>244</v>
      </c>
      <c r="AF135" s="359" t="str">
        <f t="shared" si="78"/>
        <v>CLE-133</v>
      </c>
      <c r="AG135" s="270">
        <v>80111600</v>
      </c>
      <c r="AH135" s="310" t="s">
        <v>682</v>
      </c>
      <c r="AI135" s="301">
        <v>45327</v>
      </c>
      <c r="AJ135" s="301">
        <v>45327</v>
      </c>
      <c r="AK135" s="302">
        <v>5</v>
      </c>
      <c r="AL135" s="303" t="s">
        <v>241</v>
      </c>
      <c r="AM135" s="304" t="s">
        <v>242</v>
      </c>
      <c r="AN135" s="305">
        <v>5453475</v>
      </c>
      <c r="AO135" s="305">
        <v>5453475</v>
      </c>
      <c r="AP135" s="303" t="s">
        <v>244</v>
      </c>
      <c r="AQ135" s="303" t="s">
        <v>245</v>
      </c>
      <c r="AR135" s="360" t="s">
        <v>246</v>
      </c>
      <c r="AS135" s="306" t="s">
        <v>247</v>
      </c>
      <c r="AT135" s="307" t="s">
        <v>372</v>
      </c>
      <c r="AU135" s="308" t="s">
        <v>248</v>
      </c>
      <c r="AV135" s="361" t="s">
        <v>249</v>
      </c>
      <c r="AW135" s="303" t="s">
        <v>244</v>
      </c>
      <c r="AX135" s="303" t="s">
        <v>244</v>
      </c>
      <c r="AY135" s="394" t="s">
        <v>250</v>
      </c>
      <c r="AZ135" s="394" t="s">
        <v>251</v>
      </c>
      <c r="BA135" s="394" t="s">
        <v>252</v>
      </c>
      <c r="BB135" s="394" t="s">
        <v>250</v>
      </c>
      <c r="BC135" s="394"/>
      <c r="BD135" s="394"/>
    </row>
    <row r="136" spans="1:56" customFormat="1" ht="48" x14ac:dyDescent="0.25">
      <c r="A136" s="257">
        <v>134</v>
      </c>
      <c r="B136" s="299" t="s">
        <v>90</v>
      </c>
      <c r="C136" s="299" t="s">
        <v>78</v>
      </c>
      <c r="D136" s="299" t="s">
        <v>375</v>
      </c>
      <c r="E136" s="299"/>
      <c r="F136" s="350" t="s">
        <v>383</v>
      </c>
      <c r="G136" s="350" t="s">
        <v>374</v>
      </c>
      <c r="H136" s="299" t="s">
        <v>69</v>
      </c>
      <c r="I136" s="299"/>
      <c r="J136" s="251">
        <v>1967592.5925925926</v>
      </c>
      <c r="K136" s="300">
        <v>5.0000000000000044E-2</v>
      </c>
      <c r="L136" s="311">
        <v>932058</v>
      </c>
      <c r="M136" s="299">
        <v>1</v>
      </c>
      <c r="N136" s="299" t="s">
        <v>686</v>
      </c>
      <c r="O136" s="250">
        <v>45339</v>
      </c>
      <c r="P136" s="316">
        <v>45472</v>
      </c>
      <c r="Q136" s="312">
        <v>4660290</v>
      </c>
      <c r="R136" s="317"/>
      <c r="S136" s="317"/>
      <c r="T136" s="312">
        <v>0</v>
      </c>
      <c r="U136" s="318">
        <v>5</v>
      </c>
      <c r="V136" s="352">
        <v>4660290</v>
      </c>
      <c r="W136" s="356">
        <v>1750000000</v>
      </c>
      <c r="X136" s="353">
        <v>-0.43899999999999995</v>
      </c>
      <c r="Y136" s="376"/>
      <c r="Z136" s="376" t="s">
        <v>376</v>
      </c>
      <c r="AA136" s="356">
        <v>981750000</v>
      </c>
      <c r="AB136" s="270" t="s">
        <v>243</v>
      </c>
      <c r="AC136" s="393" t="s">
        <v>373</v>
      </c>
      <c r="AD136" s="393" t="s">
        <v>361</v>
      </c>
      <c r="AE136" s="358" t="s">
        <v>244</v>
      </c>
      <c r="AF136" s="359" t="str">
        <f t="shared" si="78"/>
        <v>CLE-134</v>
      </c>
      <c r="AG136" s="270">
        <v>80111600</v>
      </c>
      <c r="AH136" s="310" t="s">
        <v>682</v>
      </c>
      <c r="AI136" s="301">
        <v>45327</v>
      </c>
      <c r="AJ136" s="301">
        <v>45327</v>
      </c>
      <c r="AK136" s="302">
        <v>5</v>
      </c>
      <c r="AL136" s="303" t="s">
        <v>241</v>
      </c>
      <c r="AM136" s="304" t="s">
        <v>242</v>
      </c>
      <c r="AN136" s="305">
        <v>4660290</v>
      </c>
      <c r="AO136" s="305">
        <v>4660290</v>
      </c>
      <c r="AP136" s="303" t="s">
        <v>244</v>
      </c>
      <c r="AQ136" s="303" t="s">
        <v>245</v>
      </c>
      <c r="AR136" s="360" t="s">
        <v>246</v>
      </c>
      <c r="AS136" s="306" t="s">
        <v>247</v>
      </c>
      <c r="AT136" s="307" t="s">
        <v>372</v>
      </c>
      <c r="AU136" s="308" t="s">
        <v>248</v>
      </c>
      <c r="AV136" s="361" t="s">
        <v>249</v>
      </c>
      <c r="AW136" s="303" t="s">
        <v>244</v>
      </c>
      <c r="AX136" s="303" t="s">
        <v>244</v>
      </c>
      <c r="AY136" s="394" t="s">
        <v>250</v>
      </c>
      <c r="AZ136" s="394" t="s">
        <v>251</v>
      </c>
      <c r="BA136" s="394" t="s">
        <v>252</v>
      </c>
      <c r="BB136" s="394" t="s">
        <v>250</v>
      </c>
      <c r="BC136" s="394"/>
      <c r="BD136" s="394"/>
    </row>
    <row r="137" spans="1:56" customFormat="1" ht="36" customHeight="1" x14ac:dyDescent="0.25">
      <c r="A137" s="257">
        <v>135</v>
      </c>
      <c r="B137" s="299" t="s">
        <v>90</v>
      </c>
      <c r="C137" s="299" t="s">
        <v>78</v>
      </c>
      <c r="D137" s="299" t="s">
        <v>375</v>
      </c>
      <c r="E137" s="299"/>
      <c r="F137" s="350" t="s">
        <v>383</v>
      </c>
      <c r="G137" s="350" t="s">
        <v>374</v>
      </c>
      <c r="H137" s="299" t="s">
        <v>67</v>
      </c>
      <c r="I137" s="299"/>
      <c r="J137" s="251">
        <v>1967592.5925925926</v>
      </c>
      <c r="K137" s="300">
        <v>5.0000000000000044E-2</v>
      </c>
      <c r="L137" s="311">
        <v>1090695</v>
      </c>
      <c r="M137" s="299">
        <v>1</v>
      </c>
      <c r="N137" s="299" t="s">
        <v>686</v>
      </c>
      <c r="O137" s="250">
        <v>45339</v>
      </c>
      <c r="P137" s="316">
        <v>45472</v>
      </c>
      <c r="Q137" s="312">
        <v>5453475</v>
      </c>
      <c r="R137" s="317"/>
      <c r="S137" s="317"/>
      <c r="T137" s="312">
        <v>0</v>
      </c>
      <c r="U137" s="318">
        <v>5</v>
      </c>
      <c r="V137" s="352">
        <v>5453475</v>
      </c>
      <c r="W137" s="356">
        <v>1750000000</v>
      </c>
      <c r="X137" s="353">
        <v>-0.43899999999999995</v>
      </c>
      <c r="Y137" s="376"/>
      <c r="Z137" s="376" t="s">
        <v>376</v>
      </c>
      <c r="AA137" s="356">
        <v>981750000</v>
      </c>
      <c r="AB137" s="270" t="s">
        <v>243</v>
      </c>
      <c r="AC137" s="393" t="s">
        <v>373</v>
      </c>
      <c r="AD137" s="393" t="s">
        <v>361</v>
      </c>
      <c r="AE137" s="358" t="s">
        <v>244</v>
      </c>
      <c r="AF137" s="359" t="str">
        <f t="shared" si="78"/>
        <v>CLE-135</v>
      </c>
      <c r="AG137" s="270">
        <v>80111600</v>
      </c>
      <c r="AH137" s="310" t="s">
        <v>682</v>
      </c>
      <c r="AI137" s="301">
        <v>45327</v>
      </c>
      <c r="AJ137" s="301">
        <v>45327</v>
      </c>
      <c r="AK137" s="302">
        <v>5</v>
      </c>
      <c r="AL137" s="303" t="s">
        <v>241</v>
      </c>
      <c r="AM137" s="304" t="s">
        <v>242</v>
      </c>
      <c r="AN137" s="305">
        <v>5453475</v>
      </c>
      <c r="AO137" s="305">
        <v>5453475</v>
      </c>
      <c r="AP137" s="303" t="s">
        <v>244</v>
      </c>
      <c r="AQ137" s="303" t="s">
        <v>245</v>
      </c>
      <c r="AR137" s="360" t="s">
        <v>246</v>
      </c>
      <c r="AS137" s="306" t="s">
        <v>247</v>
      </c>
      <c r="AT137" s="307" t="s">
        <v>372</v>
      </c>
      <c r="AU137" s="308" t="s">
        <v>248</v>
      </c>
      <c r="AV137" s="361" t="s">
        <v>249</v>
      </c>
      <c r="AW137" s="303" t="s">
        <v>244</v>
      </c>
      <c r="AX137" s="303" t="s">
        <v>244</v>
      </c>
      <c r="AY137" s="394" t="s">
        <v>250</v>
      </c>
      <c r="AZ137" s="394" t="s">
        <v>251</v>
      </c>
      <c r="BA137" s="394" t="s">
        <v>252</v>
      </c>
      <c r="BB137" s="394" t="s">
        <v>250</v>
      </c>
      <c r="BC137" s="394"/>
      <c r="BD137" s="394"/>
    </row>
    <row r="138" spans="1:56" customFormat="1" ht="29.25" customHeight="1" x14ac:dyDescent="0.25">
      <c r="A138" s="257">
        <v>136</v>
      </c>
      <c r="B138" s="299" t="s">
        <v>90</v>
      </c>
      <c r="C138" s="299" t="s">
        <v>78</v>
      </c>
      <c r="D138" s="299" t="s">
        <v>375</v>
      </c>
      <c r="E138" s="299"/>
      <c r="F138" s="350" t="s">
        <v>383</v>
      </c>
      <c r="G138" s="350" t="s">
        <v>374</v>
      </c>
      <c r="H138" s="299" t="s">
        <v>69</v>
      </c>
      <c r="I138" s="299"/>
      <c r="J138" s="251">
        <v>1967592.5925925926</v>
      </c>
      <c r="K138" s="300">
        <v>5.0000000000000044E-2</v>
      </c>
      <c r="L138" s="311">
        <v>932058</v>
      </c>
      <c r="M138" s="299">
        <v>1</v>
      </c>
      <c r="N138" s="299" t="s">
        <v>686</v>
      </c>
      <c r="O138" s="250">
        <v>45339</v>
      </c>
      <c r="P138" s="316">
        <v>45472</v>
      </c>
      <c r="Q138" s="312">
        <v>4660290</v>
      </c>
      <c r="R138" s="317"/>
      <c r="S138" s="317"/>
      <c r="T138" s="312">
        <v>0</v>
      </c>
      <c r="U138" s="318">
        <v>5</v>
      </c>
      <c r="V138" s="352">
        <v>4660290</v>
      </c>
      <c r="W138" s="356">
        <v>1750000000</v>
      </c>
      <c r="X138" s="353">
        <v>-0.43899999999999995</v>
      </c>
      <c r="Y138" s="376"/>
      <c r="Z138" s="376" t="s">
        <v>376</v>
      </c>
      <c r="AA138" s="356">
        <v>981750000</v>
      </c>
      <c r="AB138" s="270" t="s">
        <v>243</v>
      </c>
      <c r="AC138" s="393" t="s">
        <v>373</v>
      </c>
      <c r="AD138" s="393" t="s">
        <v>361</v>
      </c>
      <c r="AE138" s="358" t="s">
        <v>244</v>
      </c>
      <c r="AF138" s="359" t="str">
        <f t="shared" si="78"/>
        <v>CLE-136</v>
      </c>
      <c r="AG138" s="270">
        <v>80111600</v>
      </c>
      <c r="AH138" s="310" t="s">
        <v>682</v>
      </c>
      <c r="AI138" s="301">
        <v>45327</v>
      </c>
      <c r="AJ138" s="301">
        <v>45327</v>
      </c>
      <c r="AK138" s="302">
        <v>5</v>
      </c>
      <c r="AL138" s="303" t="s">
        <v>241</v>
      </c>
      <c r="AM138" s="304" t="s">
        <v>242</v>
      </c>
      <c r="AN138" s="305">
        <v>4660290</v>
      </c>
      <c r="AO138" s="305">
        <v>4660290</v>
      </c>
      <c r="AP138" s="303" t="s">
        <v>244</v>
      </c>
      <c r="AQ138" s="303" t="s">
        <v>245</v>
      </c>
      <c r="AR138" s="360" t="s">
        <v>246</v>
      </c>
      <c r="AS138" s="306" t="s">
        <v>247</v>
      </c>
      <c r="AT138" s="307" t="s">
        <v>372</v>
      </c>
      <c r="AU138" s="308" t="s">
        <v>248</v>
      </c>
      <c r="AV138" s="361" t="s">
        <v>249</v>
      </c>
      <c r="AW138" s="303" t="s">
        <v>244</v>
      </c>
      <c r="AX138" s="303" t="s">
        <v>244</v>
      </c>
      <c r="AY138" s="394" t="s">
        <v>250</v>
      </c>
      <c r="AZ138" s="394" t="s">
        <v>251</v>
      </c>
      <c r="BA138" s="394" t="s">
        <v>252</v>
      </c>
      <c r="BB138" s="394" t="s">
        <v>250</v>
      </c>
      <c r="BC138" s="394"/>
      <c r="BD138" s="394"/>
    </row>
    <row r="139" spans="1:56" customFormat="1" ht="32.25" customHeight="1" x14ac:dyDescent="0.25">
      <c r="A139" s="257">
        <v>137</v>
      </c>
      <c r="B139" s="299" t="s">
        <v>90</v>
      </c>
      <c r="C139" s="299" t="s">
        <v>78</v>
      </c>
      <c r="D139" s="299" t="s">
        <v>375</v>
      </c>
      <c r="E139" s="299"/>
      <c r="F139" s="350" t="s">
        <v>383</v>
      </c>
      <c r="G139" s="350" t="s">
        <v>374</v>
      </c>
      <c r="H139" s="299" t="s">
        <v>67</v>
      </c>
      <c r="I139" s="299"/>
      <c r="J139" s="251">
        <v>1967592.5925925926</v>
      </c>
      <c r="K139" s="300">
        <v>5.0000000000000044E-2</v>
      </c>
      <c r="L139" s="311">
        <v>1090695</v>
      </c>
      <c r="M139" s="299">
        <v>1</v>
      </c>
      <c r="N139" s="299" t="s">
        <v>686</v>
      </c>
      <c r="O139" s="250">
        <v>45339</v>
      </c>
      <c r="P139" s="316">
        <v>45472</v>
      </c>
      <c r="Q139" s="312">
        <v>5453475</v>
      </c>
      <c r="R139" s="317"/>
      <c r="S139" s="317"/>
      <c r="T139" s="312">
        <v>0</v>
      </c>
      <c r="U139" s="318">
        <v>5</v>
      </c>
      <c r="V139" s="352">
        <v>5453475</v>
      </c>
      <c r="W139" s="356">
        <v>1750000000</v>
      </c>
      <c r="X139" s="353">
        <v>-0.43899999999999995</v>
      </c>
      <c r="Y139" s="376"/>
      <c r="Z139" s="376" t="s">
        <v>376</v>
      </c>
      <c r="AA139" s="356">
        <v>981750000</v>
      </c>
      <c r="AB139" s="270" t="s">
        <v>243</v>
      </c>
      <c r="AC139" s="393" t="s">
        <v>373</v>
      </c>
      <c r="AD139" s="393" t="s">
        <v>361</v>
      </c>
      <c r="AE139" s="358" t="s">
        <v>244</v>
      </c>
      <c r="AF139" s="359" t="str">
        <f t="shared" si="78"/>
        <v>CLE-137</v>
      </c>
      <c r="AG139" s="270">
        <v>80111600</v>
      </c>
      <c r="AH139" s="310" t="s">
        <v>682</v>
      </c>
      <c r="AI139" s="301">
        <v>45327</v>
      </c>
      <c r="AJ139" s="301">
        <v>45327</v>
      </c>
      <c r="AK139" s="302">
        <v>5</v>
      </c>
      <c r="AL139" s="303" t="s">
        <v>241</v>
      </c>
      <c r="AM139" s="304" t="s">
        <v>242</v>
      </c>
      <c r="AN139" s="305">
        <v>5453475</v>
      </c>
      <c r="AO139" s="305">
        <v>5453475</v>
      </c>
      <c r="AP139" s="303" t="s">
        <v>244</v>
      </c>
      <c r="AQ139" s="303" t="s">
        <v>245</v>
      </c>
      <c r="AR139" s="360" t="s">
        <v>246</v>
      </c>
      <c r="AS139" s="306" t="s">
        <v>247</v>
      </c>
      <c r="AT139" s="307" t="s">
        <v>372</v>
      </c>
      <c r="AU139" s="308" t="s">
        <v>248</v>
      </c>
      <c r="AV139" s="361" t="s">
        <v>249</v>
      </c>
      <c r="AW139" s="303" t="s">
        <v>244</v>
      </c>
      <c r="AX139" s="303" t="s">
        <v>244</v>
      </c>
      <c r="AY139" s="394" t="s">
        <v>250</v>
      </c>
      <c r="AZ139" s="394" t="s">
        <v>251</v>
      </c>
      <c r="BA139" s="394" t="s">
        <v>252</v>
      </c>
      <c r="BB139" s="394" t="s">
        <v>250</v>
      </c>
      <c r="BC139" s="394"/>
      <c r="BD139" s="394"/>
    </row>
    <row r="140" spans="1:56" customFormat="1" ht="48" x14ac:dyDescent="0.25">
      <c r="A140" s="257">
        <v>138</v>
      </c>
      <c r="B140" s="299" t="s">
        <v>90</v>
      </c>
      <c r="C140" s="299" t="s">
        <v>78</v>
      </c>
      <c r="D140" s="299" t="s">
        <v>375</v>
      </c>
      <c r="E140" s="299"/>
      <c r="F140" s="350" t="s">
        <v>383</v>
      </c>
      <c r="G140" s="350" t="s">
        <v>374</v>
      </c>
      <c r="H140" s="299" t="s">
        <v>69</v>
      </c>
      <c r="I140" s="299"/>
      <c r="J140" s="251">
        <v>1967592.5925925926</v>
      </c>
      <c r="K140" s="300">
        <v>5.0000000000000044E-2</v>
      </c>
      <c r="L140" s="311">
        <v>932058</v>
      </c>
      <c r="M140" s="299">
        <v>1</v>
      </c>
      <c r="N140" s="299" t="s">
        <v>686</v>
      </c>
      <c r="O140" s="250">
        <v>45339</v>
      </c>
      <c r="P140" s="316">
        <v>45472</v>
      </c>
      <c r="Q140" s="312">
        <v>4660290</v>
      </c>
      <c r="R140" s="317"/>
      <c r="S140" s="317"/>
      <c r="T140" s="312">
        <v>0</v>
      </c>
      <c r="U140" s="318">
        <v>5</v>
      </c>
      <c r="V140" s="352">
        <v>4660290</v>
      </c>
      <c r="W140" s="356">
        <v>1750000000</v>
      </c>
      <c r="X140" s="353">
        <v>-0.43899999999999995</v>
      </c>
      <c r="Y140" s="376"/>
      <c r="Z140" s="376" t="s">
        <v>376</v>
      </c>
      <c r="AA140" s="356">
        <v>981750000</v>
      </c>
      <c r="AB140" s="270" t="s">
        <v>243</v>
      </c>
      <c r="AC140" s="393" t="s">
        <v>373</v>
      </c>
      <c r="AD140" s="393" t="s">
        <v>361</v>
      </c>
      <c r="AE140" s="358" t="s">
        <v>244</v>
      </c>
      <c r="AF140" s="359" t="str">
        <f t="shared" si="78"/>
        <v>CLE-138</v>
      </c>
      <c r="AG140" s="270">
        <v>80111600</v>
      </c>
      <c r="AH140" s="310" t="s">
        <v>682</v>
      </c>
      <c r="AI140" s="301">
        <v>45327</v>
      </c>
      <c r="AJ140" s="301">
        <v>45327</v>
      </c>
      <c r="AK140" s="302">
        <v>5</v>
      </c>
      <c r="AL140" s="303" t="s">
        <v>241</v>
      </c>
      <c r="AM140" s="304" t="s">
        <v>242</v>
      </c>
      <c r="AN140" s="305">
        <v>4660290</v>
      </c>
      <c r="AO140" s="305">
        <v>4660290</v>
      </c>
      <c r="AP140" s="303" t="s">
        <v>244</v>
      </c>
      <c r="AQ140" s="303" t="s">
        <v>245</v>
      </c>
      <c r="AR140" s="360" t="s">
        <v>246</v>
      </c>
      <c r="AS140" s="306" t="s">
        <v>247</v>
      </c>
      <c r="AT140" s="307" t="s">
        <v>372</v>
      </c>
      <c r="AU140" s="308" t="s">
        <v>248</v>
      </c>
      <c r="AV140" s="361" t="s">
        <v>249</v>
      </c>
      <c r="AW140" s="303" t="s">
        <v>244</v>
      </c>
      <c r="AX140" s="303" t="s">
        <v>244</v>
      </c>
      <c r="AY140" s="394" t="s">
        <v>250</v>
      </c>
      <c r="AZ140" s="394" t="s">
        <v>251</v>
      </c>
      <c r="BA140" s="394" t="s">
        <v>252</v>
      </c>
      <c r="BB140" s="394" t="s">
        <v>250</v>
      </c>
      <c r="BC140" s="394"/>
      <c r="BD140" s="394"/>
    </row>
    <row r="141" spans="1:56" customFormat="1" ht="48" x14ac:dyDescent="0.25">
      <c r="A141" s="257">
        <v>139</v>
      </c>
      <c r="B141" s="299" t="s">
        <v>90</v>
      </c>
      <c r="C141" s="299" t="s">
        <v>78</v>
      </c>
      <c r="D141" s="299" t="s">
        <v>375</v>
      </c>
      <c r="E141" s="299"/>
      <c r="F141" s="350" t="s">
        <v>383</v>
      </c>
      <c r="G141" s="350" t="s">
        <v>374</v>
      </c>
      <c r="H141" s="299" t="s">
        <v>69</v>
      </c>
      <c r="I141" s="299"/>
      <c r="J141" s="251">
        <v>1967592.5925925926</v>
      </c>
      <c r="K141" s="300">
        <v>5.0000000000000044E-2</v>
      </c>
      <c r="L141" s="311">
        <v>1106426</v>
      </c>
      <c r="M141" s="299">
        <v>1</v>
      </c>
      <c r="N141" s="299" t="s">
        <v>686</v>
      </c>
      <c r="O141" s="250">
        <v>45339</v>
      </c>
      <c r="P141" s="316">
        <v>45472</v>
      </c>
      <c r="Q141" s="312">
        <v>5532130</v>
      </c>
      <c r="R141" s="317"/>
      <c r="S141" s="317"/>
      <c r="T141" s="312">
        <v>0</v>
      </c>
      <c r="U141" s="318">
        <v>5</v>
      </c>
      <c r="V141" s="352">
        <v>5532130</v>
      </c>
      <c r="W141" s="356">
        <v>1750000000</v>
      </c>
      <c r="X141" s="353">
        <v>-0.43899999999999995</v>
      </c>
      <c r="Y141" s="376"/>
      <c r="Z141" s="376" t="s">
        <v>376</v>
      </c>
      <c r="AA141" s="356">
        <v>981750000</v>
      </c>
      <c r="AB141" s="270" t="s">
        <v>243</v>
      </c>
      <c r="AC141" s="393" t="s">
        <v>373</v>
      </c>
      <c r="AD141" s="393" t="s">
        <v>361</v>
      </c>
      <c r="AE141" s="358" t="s">
        <v>244</v>
      </c>
      <c r="AF141" s="359" t="str">
        <f t="shared" si="78"/>
        <v>CLE-139</v>
      </c>
      <c r="AG141" s="270">
        <v>80111600</v>
      </c>
      <c r="AH141" s="310" t="s">
        <v>682</v>
      </c>
      <c r="AI141" s="301">
        <v>45327</v>
      </c>
      <c r="AJ141" s="301">
        <v>45327</v>
      </c>
      <c r="AK141" s="302">
        <v>5</v>
      </c>
      <c r="AL141" s="303" t="s">
        <v>241</v>
      </c>
      <c r="AM141" s="304" t="s">
        <v>242</v>
      </c>
      <c r="AN141" s="305">
        <v>5532130</v>
      </c>
      <c r="AO141" s="305">
        <v>5532130</v>
      </c>
      <c r="AP141" s="303" t="s">
        <v>244</v>
      </c>
      <c r="AQ141" s="303" t="s">
        <v>245</v>
      </c>
      <c r="AR141" s="360" t="s">
        <v>246</v>
      </c>
      <c r="AS141" s="306" t="s">
        <v>247</v>
      </c>
      <c r="AT141" s="307" t="s">
        <v>372</v>
      </c>
      <c r="AU141" s="308" t="s">
        <v>248</v>
      </c>
      <c r="AV141" s="361" t="s">
        <v>249</v>
      </c>
      <c r="AW141" s="303" t="s">
        <v>244</v>
      </c>
      <c r="AX141" s="303" t="s">
        <v>244</v>
      </c>
      <c r="AY141" s="394" t="s">
        <v>250</v>
      </c>
      <c r="AZ141" s="394" t="s">
        <v>251</v>
      </c>
      <c r="BA141" s="394" t="s">
        <v>252</v>
      </c>
      <c r="BB141" s="394" t="s">
        <v>250</v>
      </c>
      <c r="BC141" s="394"/>
      <c r="BD141" s="394"/>
    </row>
    <row r="142" spans="1:56" customFormat="1" ht="48" x14ac:dyDescent="0.25">
      <c r="A142" s="257">
        <v>140</v>
      </c>
      <c r="B142" s="299" t="s">
        <v>90</v>
      </c>
      <c r="C142" s="299" t="s">
        <v>78</v>
      </c>
      <c r="D142" s="299" t="s">
        <v>375</v>
      </c>
      <c r="E142" s="299"/>
      <c r="F142" s="350" t="s">
        <v>383</v>
      </c>
      <c r="G142" s="350" t="s">
        <v>374</v>
      </c>
      <c r="H142" s="299" t="s">
        <v>69</v>
      </c>
      <c r="I142" s="299"/>
      <c r="J142" s="251">
        <v>1967592.5925925926</v>
      </c>
      <c r="K142" s="300">
        <v>5.0000000000000044E-2</v>
      </c>
      <c r="L142" s="311">
        <v>932058</v>
      </c>
      <c r="M142" s="299">
        <v>1</v>
      </c>
      <c r="N142" s="299" t="s">
        <v>686</v>
      </c>
      <c r="O142" s="250">
        <v>45339</v>
      </c>
      <c r="P142" s="316">
        <v>45472</v>
      </c>
      <c r="Q142" s="312">
        <v>4660290</v>
      </c>
      <c r="R142" s="317"/>
      <c r="S142" s="317"/>
      <c r="T142" s="312">
        <v>0</v>
      </c>
      <c r="U142" s="318">
        <v>5</v>
      </c>
      <c r="V142" s="352">
        <v>4660290</v>
      </c>
      <c r="W142" s="356">
        <v>1750000000</v>
      </c>
      <c r="X142" s="353">
        <v>-0.43899999999999995</v>
      </c>
      <c r="Y142" s="376"/>
      <c r="Z142" s="376" t="s">
        <v>376</v>
      </c>
      <c r="AA142" s="356">
        <v>981750000</v>
      </c>
      <c r="AB142" s="270" t="s">
        <v>243</v>
      </c>
      <c r="AC142" s="393" t="s">
        <v>373</v>
      </c>
      <c r="AD142" s="393" t="s">
        <v>361</v>
      </c>
      <c r="AE142" s="358" t="s">
        <v>244</v>
      </c>
      <c r="AF142" s="359" t="str">
        <f t="shared" si="78"/>
        <v>CLE-140</v>
      </c>
      <c r="AG142" s="270">
        <v>80111600</v>
      </c>
      <c r="AH142" s="310" t="s">
        <v>682</v>
      </c>
      <c r="AI142" s="301">
        <v>45327</v>
      </c>
      <c r="AJ142" s="301">
        <v>45327</v>
      </c>
      <c r="AK142" s="302">
        <v>5</v>
      </c>
      <c r="AL142" s="303" t="s">
        <v>241</v>
      </c>
      <c r="AM142" s="304" t="s">
        <v>242</v>
      </c>
      <c r="AN142" s="305">
        <v>4660290</v>
      </c>
      <c r="AO142" s="305">
        <v>4660290</v>
      </c>
      <c r="AP142" s="303" t="s">
        <v>244</v>
      </c>
      <c r="AQ142" s="303" t="s">
        <v>245</v>
      </c>
      <c r="AR142" s="360" t="s">
        <v>246</v>
      </c>
      <c r="AS142" s="306" t="s">
        <v>247</v>
      </c>
      <c r="AT142" s="307" t="s">
        <v>372</v>
      </c>
      <c r="AU142" s="308" t="s">
        <v>248</v>
      </c>
      <c r="AV142" s="361" t="s">
        <v>249</v>
      </c>
      <c r="AW142" s="303" t="s">
        <v>244</v>
      </c>
      <c r="AX142" s="303" t="s">
        <v>244</v>
      </c>
      <c r="AY142" s="394" t="s">
        <v>250</v>
      </c>
      <c r="AZ142" s="394" t="s">
        <v>251</v>
      </c>
      <c r="BA142" s="394" t="s">
        <v>252</v>
      </c>
      <c r="BB142" s="394" t="s">
        <v>250</v>
      </c>
      <c r="BC142" s="394"/>
      <c r="BD142" s="394"/>
    </row>
    <row r="143" spans="1:56" customFormat="1" ht="48" x14ac:dyDescent="0.25">
      <c r="A143" s="257">
        <v>141</v>
      </c>
      <c r="B143" s="299" t="s">
        <v>90</v>
      </c>
      <c r="C143" s="299" t="s">
        <v>78</v>
      </c>
      <c r="D143" s="299" t="s">
        <v>375</v>
      </c>
      <c r="E143" s="299"/>
      <c r="F143" s="350" t="s">
        <v>383</v>
      </c>
      <c r="G143" s="350" t="s">
        <v>374</v>
      </c>
      <c r="H143" s="299" t="s">
        <v>69</v>
      </c>
      <c r="I143" s="299"/>
      <c r="J143" s="251">
        <v>1967592.5925925926</v>
      </c>
      <c r="K143" s="300">
        <v>5.0000000000000044E-2</v>
      </c>
      <c r="L143" s="311">
        <v>1490036</v>
      </c>
      <c r="M143" s="299">
        <v>1</v>
      </c>
      <c r="N143" s="299" t="s">
        <v>686</v>
      </c>
      <c r="O143" s="250">
        <v>45339</v>
      </c>
      <c r="P143" s="316">
        <v>45472</v>
      </c>
      <c r="Q143" s="312">
        <v>7450180</v>
      </c>
      <c r="R143" s="317"/>
      <c r="S143" s="317"/>
      <c r="T143" s="312">
        <v>0</v>
      </c>
      <c r="U143" s="318">
        <v>5</v>
      </c>
      <c r="V143" s="352">
        <v>7450180</v>
      </c>
      <c r="W143" s="356">
        <v>1750000000</v>
      </c>
      <c r="X143" s="353">
        <v>-0.43899999999999995</v>
      </c>
      <c r="Y143" s="376"/>
      <c r="Z143" s="376" t="s">
        <v>376</v>
      </c>
      <c r="AA143" s="356">
        <v>981750000</v>
      </c>
      <c r="AB143" s="270" t="s">
        <v>243</v>
      </c>
      <c r="AC143" s="393" t="s">
        <v>373</v>
      </c>
      <c r="AD143" s="393" t="s">
        <v>361</v>
      </c>
      <c r="AE143" s="358" t="s">
        <v>244</v>
      </c>
      <c r="AF143" s="359" t="str">
        <f t="shared" si="78"/>
        <v>CLE-141</v>
      </c>
      <c r="AG143" s="270">
        <v>80111600</v>
      </c>
      <c r="AH143" s="310" t="s">
        <v>682</v>
      </c>
      <c r="AI143" s="301">
        <v>45327</v>
      </c>
      <c r="AJ143" s="301">
        <v>45327</v>
      </c>
      <c r="AK143" s="302">
        <v>5</v>
      </c>
      <c r="AL143" s="303" t="s">
        <v>241</v>
      </c>
      <c r="AM143" s="304" t="s">
        <v>242</v>
      </c>
      <c r="AN143" s="305">
        <v>7450180</v>
      </c>
      <c r="AO143" s="305">
        <v>7450180</v>
      </c>
      <c r="AP143" s="303" t="s">
        <v>244</v>
      </c>
      <c r="AQ143" s="303" t="s">
        <v>245</v>
      </c>
      <c r="AR143" s="360" t="s">
        <v>246</v>
      </c>
      <c r="AS143" s="306" t="s">
        <v>247</v>
      </c>
      <c r="AT143" s="307" t="s">
        <v>372</v>
      </c>
      <c r="AU143" s="308" t="s">
        <v>248</v>
      </c>
      <c r="AV143" s="361" t="s">
        <v>249</v>
      </c>
      <c r="AW143" s="303" t="s">
        <v>244</v>
      </c>
      <c r="AX143" s="303" t="s">
        <v>244</v>
      </c>
      <c r="AY143" s="394" t="s">
        <v>250</v>
      </c>
      <c r="AZ143" s="394" t="s">
        <v>251</v>
      </c>
      <c r="BA143" s="394" t="s">
        <v>252</v>
      </c>
      <c r="BB143" s="394" t="s">
        <v>250</v>
      </c>
      <c r="BC143" s="394"/>
      <c r="BD143" s="394"/>
    </row>
    <row r="144" spans="1:56" customFormat="1" ht="48" x14ac:dyDescent="0.25">
      <c r="A144" s="257">
        <v>142</v>
      </c>
      <c r="B144" s="299" t="s">
        <v>90</v>
      </c>
      <c r="C144" s="299" t="s">
        <v>78</v>
      </c>
      <c r="D144" s="299" t="s">
        <v>375</v>
      </c>
      <c r="E144" s="299"/>
      <c r="F144" s="350" t="s">
        <v>383</v>
      </c>
      <c r="G144" s="350" t="s">
        <v>374</v>
      </c>
      <c r="H144" s="299" t="s">
        <v>67</v>
      </c>
      <c r="I144" s="299"/>
      <c r="J144" s="251">
        <v>1967592.5925925926</v>
      </c>
      <c r="K144" s="300">
        <v>5.0000000000000044E-2</v>
      </c>
      <c r="L144" s="311">
        <v>1090695</v>
      </c>
      <c r="M144" s="299">
        <v>1</v>
      </c>
      <c r="N144" s="299" t="s">
        <v>686</v>
      </c>
      <c r="O144" s="250">
        <v>45339</v>
      </c>
      <c r="P144" s="316">
        <v>45472</v>
      </c>
      <c r="Q144" s="312">
        <v>5453475</v>
      </c>
      <c r="R144" s="317"/>
      <c r="S144" s="317"/>
      <c r="T144" s="312">
        <v>0</v>
      </c>
      <c r="U144" s="318">
        <v>5</v>
      </c>
      <c r="V144" s="352">
        <v>5453475</v>
      </c>
      <c r="W144" s="356">
        <v>1750000000</v>
      </c>
      <c r="X144" s="353">
        <v>-0.43899999999999995</v>
      </c>
      <c r="Y144" s="376"/>
      <c r="Z144" s="376" t="s">
        <v>376</v>
      </c>
      <c r="AA144" s="356">
        <v>981750000</v>
      </c>
      <c r="AB144" s="270" t="s">
        <v>243</v>
      </c>
      <c r="AC144" s="393" t="s">
        <v>373</v>
      </c>
      <c r="AD144" s="393" t="s">
        <v>361</v>
      </c>
      <c r="AE144" s="358" t="s">
        <v>244</v>
      </c>
      <c r="AF144" s="359" t="str">
        <f t="shared" si="78"/>
        <v>CLE-142</v>
      </c>
      <c r="AG144" s="270">
        <v>80111600</v>
      </c>
      <c r="AH144" s="310" t="s">
        <v>682</v>
      </c>
      <c r="AI144" s="301">
        <v>45327</v>
      </c>
      <c r="AJ144" s="301">
        <v>45327</v>
      </c>
      <c r="AK144" s="302">
        <v>5</v>
      </c>
      <c r="AL144" s="303" t="s">
        <v>241</v>
      </c>
      <c r="AM144" s="304" t="s">
        <v>242</v>
      </c>
      <c r="AN144" s="305">
        <v>5453475</v>
      </c>
      <c r="AO144" s="305">
        <v>5453475</v>
      </c>
      <c r="AP144" s="303" t="s">
        <v>244</v>
      </c>
      <c r="AQ144" s="303" t="s">
        <v>245</v>
      </c>
      <c r="AR144" s="360" t="s">
        <v>246</v>
      </c>
      <c r="AS144" s="306" t="s">
        <v>247</v>
      </c>
      <c r="AT144" s="307" t="s">
        <v>372</v>
      </c>
      <c r="AU144" s="308" t="s">
        <v>248</v>
      </c>
      <c r="AV144" s="361" t="s">
        <v>249</v>
      </c>
      <c r="AW144" s="303" t="s">
        <v>244</v>
      </c>
      <c r="AX144" s="303" t="s">
        <v>244</v>
      </c>
      <c r="AY144" s="394" t="s">
        <v>250</v>
      </c>
      <c r="AZ144" s="394" t="s">
        <v>251</v>
      </c>
      <c r="BA144" s="394" t="s">
        <v>252</v>
      </c>
      <c r="BB144" s="394" t="s">
        <v>250</v>
      </c>
      <c r="BC144" s="394"/>
      <c r="BD144" s="394"/>
    </row>
    <row r="145" spans="1:56" customFormat="1" ht="48" x14ac:dyDescent="0.25">
      <c r="A145" s="257">
        <v>143</v>
      </c>
      <c r="B145" s="299" t="s">
        <v>90</v>
      </c>
      <c r="C145" s="299" t="s">
        <v>78</v>
      </c>
      <c r="D145" s="299" t="s">
        <v>375</v>
      </c>
      <c r="E145" s="299"/>
      <c r="F145" s="350" t="s">
        <v>383</v>
      </c>
      <c r="G145" s="350" t="s">
        <v>374</v>
      </c>
      <c r="H145" s="299" t="s">
        <v>67</v>
      </c>
      <c r="I145" s="299"/>
      <c r="J145" s="251">
        <v>1967592.5925925926</v>
      </c>
      <c r="K145" s="300">
        <v>5.0000000000000044E-2</v>
      </c>
      <c r="L145" s="311">
        <v>1090695</v>
      </c>
      <c r="M145" s="299">
        <v>1</v>
      </c>
      <c r="N145" s="299" t="s">
        <v>686</v>
      </c>
      <c r="O145" s="250">
        <v>45339</v>
      </c>
      <c r="P145" s="316">
        <v>45472</v>
      </c>
      <c r="Q145" s="312">
        <v>5453475</v>
      </c>
      <c r="R145" s="317"/>
      <c r="S145" s="317"/>
      <c r="T145" s="312">
        <v>0</v>
      </c>
      <c r="U145" s="318">
        <v>5</v>
      </c>
      <c r="V145" s="352">
        <v>5453475</v>
      </c>
      <c r="W145" s="356">
        <v>1750000000</v>
      </c>
      <c r="X145" s="353">
        <v>-0.43899999999999995</v>
      </c>
      <c r="Y145" s="376"/>
      <c r="Z145" s="376" t="s">
        <v>376</v>
      </c>
      <c r="AA145" s="356">
        <v>981750000</v>
      </c>
      <c r="AB145" s="270" t="s">
        <v>243</v>
      </c>
      <c r="AC145" s="393" t="s">
        <v>373</v>
      </c>
      <c r="AD145" s="393" t="s">
        <v>361</v>
      </c>
      <c r="AE145" s="358" t="s">
        <v>244</v>
      </c>
      <c r="AF145" s="359" t="str">
        <f t="shared" si="78"/>
        <v>CLE-143</v>
      </c>
      <c r="AG145" s="270">
        <v>80111600</v>
      </c>
      <c r="AH145" s="310" t="s">
        <v>682</v>
      </c>
      <c r="AI145" s="301">
        <v>45327</v>
      </c>
      <c r="AJ145" s="301">
        <v>45327</v>
      </c>
      <c r="AK145" s="302">
        <v>5</v>
      </c>
      <c r="AL145" s="303" t="s">
        <v>241</v>
      </c>
      <c r="AM145" s="304" t="s">
        <v>242</v>
      </c>
      <c r="AN145" s="305">
        <v>5453475</v>
      </c>
      <c r="AO145" s="305">
        <v>5453475</v>
      </c>
      <c r="AP145" s="303" t="s">
        <v>244</v>
      </c>
      <c r="AQ145" s="303" t="s">
        <v>245</v>
      </c>
      <c r="AR145" s="360" t="s">
        <v>246</v>
      </c>
      <c r="AS145" s="306" t="s">
        <v>247</v>
      </c>
      <c r="AT145" s="307" t="s">
        <v>372</v>
      </c>
      <c r="AU145" s="308" t="s">
        <v>248</v>
      </c>
      <c r="AV145" s="361" t="s">
        <v>249</v>
      </c>
      <c r="AW145" s="303" t="s">
        <v>244</v>
      </c>
      <c r="AX145" s="303" t="s">
        <v>244</v>
      </c>
      <c r="AY145" s="394" t="s">
        <v>250</v>
      </c>
      <c r="AZ145" s="394" t="s">
        <v>251</v>
      </c>
      <c r="BA145" s="394" t="s">
        <v>252</v>
      </c>
      <c r="BB145" s="394" t="s">
        <v>250</v>
      </c>
      <c r="BC145" s="394"/>
      <c r="BD145" s="394"/>
    </row>
    <row r="146" spans="1:56" customFormat="1" ht="37.5" customHeight="1" x14ac:dyDescent="0.25">
      <c r="A146" s="257">
        <v>144</v>
      </c>
      <c r="B146" s="299" t="s">
        <v>90</v>
      </c>
      <c r="C146" s="299" t="s">
        <v>78</v>
      </c>
      <c r="D146" s="299" t="s">
        <v>375</v>
      </c>
      <c r="E146" s="299"/>
      <c r="F146" s="350" t="s">
        <v>383</v>
      </c>
      <c r="G146" s="350" t="s">
        <v>374</v>
      </c>
      <c r="H146" s="299" t="s">
        <v>69</v>
      </c>
      <c r="I146" s="299"/>
      <c r="J146" s="251">
        <v>1967592.5925925926</v>
      </c>
      <c r="K146" s="300">
        <v>5.0000000000000044E-2</v>
      </c>
      <c r="L146" s="311">
        <v>1490036</v>
      </c>
      <c r="M146" s="299">
        <v>1</v>
      </c>
      <c r="N146" s="299" t="s">
        <v>686</v>
      </c>
      <c r="O146" s="250">
        <v>45339</v>
      </c>
      <c r="P146" s="316">
        <v>45472</v>
      </c>
      <c r="Q146" s="312">
        <v>7450180</v>
      </c>
      <c r="R146" s="317"/>
      <c r="S146" s="317"/>
      <c r="T146" s="312">
        <v>0</v>
      </c>
      <c r="U146" s="318">
        <v>5</v>
      </c>
      <c r="V146" s="352">
        <v>7450180</v>
      </c>
      <c r="W146" s="356">
        <v>1750000000</v>
      </c>
      <c r="X146" s="353">
        <v>-0.43899999999999995</v>
      </c>
      <c r="Y146" s="376"/>
      <c r="Z146" s="376" t="s">
        <v>376</v>
      </c>
      <c r="AA146" s="356">
        <v>981750000</v>
      </c>
      <c r="AB146" s="270" t="s">
        <v>243</v>
      </c>
      <c r="AC146" s="393" t="s">
        <v>373</v>
      </c>
      <c r="AD146" s="393" t="s">
        <v>361</v>
      </c>
      <c r="AE146" s="358" t="s">
        <v>244</v>
      </c>
      <c r="AF146" s="359" t="str">
        <f t="shared" si="78"/>
        <v>CLE-144</v>
      </c>
      <c r="AG146" s="270">
        <v>80111600</v>
      </c>
      <c r="AH146" s="310" t="s">
        <v>682</v>
      </c>
      <c r="AI146" s="301">
        <v>45327</v>
      </c>
      <c r="AJ146" s="301">
        <v>45327</v>
      </c>
      <c r="AK146" s="302">
        <v>5</v>
      </c>
      <c r="AL146" s="303" t="s">
        <v>241</v>
      </c>
      <c r="AM146" s="304" t="s">
        <v>242</v>
      </c>
      <c r="AN146" s="305">
        <v>7450180</v>
      </c>
      <c r="AO146" s="305">
        <v>7450180</v>
      </c>
      <c r="AP146" s="303" t="s">
        <v>244</v>
      </c>
      <c r="AQ146" s="303" t="s">
        <v>245</v>
      </c>
      <c r="AR146" s="360" t="s">
        <v>246</v>
      </c>
      <c r="AS146" s="306" t="s">
        <v>247</v>
      </c>
      <c r="AT146" s="307" t="s">
        <v>372</v>
      </c>
      <c r="AU146" s="308" t="s">
        <v>248</v>
      </c>
      <c r="AV146" s="361" t="s">
        <v>249</v>
      </c>
      <c r="AW146" s="303" t="s">
        <v>244</v>
      </c>
      <c r="AX146" s="303" t="s">
        <v>244</v>
      </c>
      <c r="AY146" s="394" t="s">
        <v>250</v>
      </c>
      <c r="AZ146" s="394" t="s">
        <v>251</v>
      </c>
      <c r="BA146" s="394" t="s">
        <v>252</v>
      </c>
      <c r="BB146" s="394" t="s">
        <v>250</v>
      </c>
      <c r="BC146" s="394"/>
      <c r="BD146" s="394"/>
    </row>
    <row r="147" spans="1:56" customFormat="1" ht="48" x14ac:dyDescent="0.25">
      <c r="A147" s="257">
        <v>145</v>
      </c>
      <c r="B147" s="299" t="s">
        <v>90</v>
      </c>
      <c r="C147" s="299" t="s">
        <v>78</v>
      </c>
      <c r="D147" s="299" t="s">
        <v>375</v>
      </c>
      <c r="E147" s="299"/>
      <c r="F147" s="350" t="s">
        <v>383</v>
      </c>
      <c r="G147" s="350" t="s">
        <v>374</v>
      </c>
      <c r="H147" s="299" t="s">
        <v>67</v>
      </c>
      <c r="I147" s="299"/>
      <c r="J147" s="251">
        <v>1967592.5925925926</v>
      </c>
      <c r="K147" s="300">
        <v>5.0000000000000044E-2</v>
      </c>
      <c r="L147" s="311">
        <v>1807312</v>
      </c>
      <c r="M147" s="299">
        <v>1</v>
      </c>
      <c r="N147" s="299" t="s">
        <v>686</v>
      </c>
      <c r="O147" s="250">
        <v>45339</v>
      </c>
      <c r="P147" s="316">
        <v>45472</v>
      </c>
      <c r="Q147" s="312">
        <v>9036560</v>
      </c>
      <c r="R147" s="317"/>
      <c r="S147" s="317"/>
      <c r="T147" s="312">
        <v>0</v>
      </c>
      <c r="U147" s="318">
        <v>5</v>
      </c>
      <c r="V147" s="352">
        <v>9036560</v>
      </c>
      <c r="W147" s="356">
        <v>1750000000</v>
      </c>
      <c r="X147" s="353">
        <v>-0.43899999999999995</v>
      </c>
      <c r="Y147" s="376"/>
      <c r="Z147" s="376" t="s">
        <v>376</v>
      </c>
      <c r="AA147" s="356">
        <v>981750000</v>
      </c>
      <c r="AB147" s="270" t="s">
        <v>243</v>
      </c>
      <c r="AC147" s="393" t="s">
        <v>373</v>
      </c>
      <c r="AD147" s="393" t="s">
        <v>361</v>
      </c>
      <c r="AE147" s="358" t="s">
        <v>244</v>
      </c>
      <c r="AF147" s="359" t="str">
        <f t="shared" si="78"/>
        <v>CLE-145</v>
      </c>
      <c r="AG147" s="270">
        <v>80111600</v>
      </c>
      <c r="AH147" s="310" t="s">
        <v>682</v>
      </c>
      <c r="AI147" s="301">
        <v>45327</v>
      </c>
      <c r="AJ147" s="301">
        <v>45327</v>
      </c>
      <c r="AK147" s="302">
        <v>5</v>
      </c>
      <c r="AL147" s="303" t="s">
        <v>241</v>
      </c>
      <c r="AM147" s="304" t="s">
        <v>242</v>
      </c>
      <c r="AN147" s="305">
        <v>9036560</v>
      </c>
      <c r="AO147" s="305">
        <v>9036560</v>
      </c>
      <c r="AP147" s="303" t="s">
        <v>244</v>
      </c>
      <c r="AQ147" s="303" t="s">
        <v>245</v>
      </c>
      <c r="AR147" s="360" t="s">
        <v>246</v>
      </c>
      <c r="AS147" s="306" t="s">
        <v>247</v>
      </c>
      <c r="AT147" s="307" t="s">
        <v>372</v>
      </c>
      <c r="AU147" s="308" t="s">
        <v>248</v>
      </c>
      <c r="AV147" s="361" t="s">
        <v>249</v>
      </c>
      <c r="AW147" s="303" t="s">
        <v>244</v>
      </c>
      <c r="AX147" s="303" t="s">
        <v>244</v>
      </c>
      <c r="AY147" s="394" t="s">
        <v>250</v>
      </c>
      <c r="AZ147" s="394" t="s">
        <v>251</v>
      </c>
      <c r="BA147" s="394" t="s">
        <v>252</v>
      </c>
      <c r="BB147" s="394" t="s">
        <v>250</v>
      </c>
      <c r="BC147" s="394"/>
      <c r="BD147" s="394"/>
    </row>
    <row r="148" spans="1:56" customFormat="1" ht="48" x14ac:dyDescent="0.25">
      <c r="A148" s="257">
        <v>146</v>
      </c>
      <c r="B148" s="299" t="s">
        <v>90</v>
      </c>
      <c r="C148" s="299" t="s">
        <v>78</v>
      </c>
      <c r="D148" s="299" t="s">
        <v>375</v>
      </c>
      <c r="E148" s="299"/>
      <c r="F148" s="350" t="s">
        <v>383</v>
      </c>
      <c r="G148" s="350" t="s">
        <v>374</v>
      </c>
      <c r="H148" s="299" t="s">
        <v>67</v>
      </c>
      <c r="I148" s="299"/>
      <c r="J148" s="251">
        <v>1967592.5925925926</v>
      </c>
      <c r="K148" s="300">
        <v>5.0000000000000044E-2</v>
      </c>
      <c r="L148" s="311">
        <v>2048015</v>
      </c>
      <c r="M148" s="299">
        <v>1</v>
      </c>
      <c r="N148" s="299" t="s">
        <v>686</v>
      </c>
      <c r="O148" s="250">
        <v>45339</v>
      </c>
      <c r="P148" s="316">
        <v>45472</v>
      </c>
      <c r="Q148" s="312">
        <v>10240075</v>
      </c>
      <c r="R148" s="317"/>
      <c r="S148" s="317"/>
      <c r="T148" s="312">
        <v>0</v>
      </c>
      <c r="U148" s="318">
        <v>5</v>
      </c>
      <c r="V148" s="352">
        <v>10240075</v>
      </c>
      <c r="W148" s="356">
        <v>1750000000</v>
      </c>
      <c r="X148" s="353">
        <v>-0.43899999999999995</v>
      </c>
      <c r="Y148" s="376"/>
      <c r="Z148" s="376" t="s">
        <v>376</v>
      </c>
      <c r="AA148" s="356">
        <v>981750000</v>
      </c>
      <c r="AB148" s="270" t="s">
        <v>243</v>
      </c>
      <c r="AC148" s="393" t="s">
        <v>373</v>
      </c>
      <c r="AD148" s="393" t="s">
        <v>361</v>
      </c>
      <c r="AE148" s="358" t="s">
        <v>244</v>
      </c>
      <c r="AF148" s="359" t="str">
        <f t="shared" si="78"/>
        <v>CLE-146</v>
      </c>
      <c r="AG148" s="270">
        <v>80111600</v>
      </c>
      <c r="AH148" s="310" t="s">
        <v>682</v>
      </c>
      <c r="AI148" s="301">
        <v>45327</v>
      </c>
      <c r="AJ148" s="301">
        <v>45327</v>
      </c>
      <c r="AK148" s="302">
        <v>5</v>
      </c>
      <c r="AL148" s="303" t="s">
        <v>241</v>
      </c>
      <c r="AM148" s="304" t="s">
        <v>242</v>
      </c>
      <c r="AN148" s="305">
        <v>10240075</v>
      </c>
      <c r="AO148" s="305">
        <v>10240075</v>
      </c>
      <c r="AP148" s="303" t="s">
        <v>244</v>
      </c>
      <c r="AQ148" s="303" t="s">
        <v>245</v>
      </c>
      <c r="AR148" s="360" t="s">
        <v>246</v>
      </c>
      <c r="AS148" s="306" t="s">
        <v>247</v>
      </c>
      <c r="AT148" s="307" t="s">
        <v>372</v>
      </c>
      <c r="AU148" s="308" t="s">
        <v>248</v>
      </c>
      <c r="AV148" s="361" t="s">
        <v>249</v>
      </c>
      <c r="AW148" s="303" t="s">
        <v>244</v>
      </c>
      <c r="AX148" s="303" t="s">
        <v>244</v>
      </c>
      <c r="AY148" s="394" t="s">
        <v>250</v>
      </c>
      <c r="AZ148" s="394" t="s">
        <v>251</v>
      </c>
      <c r="BA148" s="394" t="s">
        <v>252</v>
      </c>
      <c r="BB148" s="394" t="s">
        <v>250</v>
      </c>
      <c r="BC148" s="394"/>
      <c r="BD148" s="394"/>
    </row>
    <row r="149" spans="1:56" customFormat="1" ht="48" x14ac:dyDescent="0.25">
      <c r="A149" s="257">
        <v>147</v>
      </c>
      <c r="B149" s="299" t="s">
        <v>90</v>
      </c>
      <c r="C149" s="299" t="s">
        <v>78</v>
      </c>
      <c r="D149" s="299" t="s">
        <v>375</v>
      </c>
      <c r="E149" s="299"/>
      <c r="F149" s="350" t="s">
        <v>383</v>
      </c>
      <c r="G149" s="350" t="s">
        <v>374</v>
      </c>
      <c r="H149" s="299" t="s">
        <v>69</v>
      </c>
      <c r="I149" s="299"/>
      <c r="J149" s="251">
        <v>1967592.5925925926</v>
      </c>
      <c r="K149" s="300">
        <v>5.0000000000000044E-2</v>
      </c>
      <c r="L149" s="311">
        <v>932058</v>
      </c>
      <c r="M149" s="299">
        <v>1</v>
      </c>
      <c r="N149" s="299" t="s">
        <v>686</v>
      </c>
      <c r="O149" s="250">
        <v>45339</v>
      </c>
      <c r="P149" s="316">
        <v>45472</v>
      </c>
      <c r="Q149" s="312">
        <v>4660290</v>
      </c>
      <c r="R149" s="317"/>
      <c r="S149" s="317"/>
      <c r="T149" s="312">
        <v>0</v>
      </c>
      <c r="U149" s="318">
        <v>5</v>
      </c>
      <c r="V149" s="352">
        <v>4660290</v>
      </c>
      <c r="W149" s="356">
        <v>1750000000</v>
      </c>
      <c r="X149" s="353">
        <v>-0.43899999999999995</v>
      </c>
      <c r="Y149" s="376"/>
      <c r="Z149" s="376" t="s">
        <v>376</v>
      </c>
      <c r="AA149" s="356">
        <v>981750000</v>
      </c>
      <c r="AB149" s="270" t="s">
        <v>243</v>
      </c>
      <c r="AC149" s="393" t="s">
        <v>373</v>
      </c>
      <c r="AD149" s="393" t="s">
        <v>361</v>
      </c>
      <c r="AE149" s="358" t="s">
        <v>244</v>
      </c>
      <c r="AF149" s="359" t="str">
        <f t="shared" si="78"/>
        <v>CLE-147</v>
      </c>
      <c r="AG149" s="270">
        <v>80111600</v>
      </c>
      <c r="AH149" s="310" t="s">
        <v>682</v>
      </c>
      <c r="AI149" s="301">
        <v>45327</v>
      </c>
      <c r="AJ149" s="301">
        <v>45327</v>
      </c>
      <c r="AK149" s="302">
        <v>5</v>
      </c>
      <c r="AL149" s="303" t="s">
        <v>241</v>
      </c>
      <c r="AM149" s="304" t="s">
        <v>242</v>
      </c>
      <c r="AN149" s="305">
        <v>4660290</v>
      </c>
      <c r="AO149" s="305">
        <v>4660290</v>
      </c>
      <c r="AP149" s="303" t="s">
        <v>244</v>
      </c>
      <c r="AQ149" s="303" t="s">
        <v>245</v>
      </c>
      <c r="AR149" s="360" t="s">
        <v>246</v>
      </c>
      <c r="AS149" s="306" t="s">
        <v>247</v>
      </c>
      <c r="AT149" s="307" t="s">
        <v>372</v>
      </c>
      <c r="AU149" s="308" t="s">
        <v>248</v>
      </c>
      <c r="AV149" s="361" t="s">
        <v>249</v>
      </c>
      <c r="AW149" s="303" t="s">
        <v>244</v>
      </c>
      <c r="AX149" s="303" t="s">
        <v>244</v>
      </c>
      <c r="AY149" s="394" t="s">
        <v>250</v>
      </c>
      <c r="AZ149" s="394" t="s">
        <v>251</v>
      </c>
      <c r="BA149" s="394" t="s">
        <v>252</v>
      </c>
      <c r="BB149" s="394" t="s">
        <v>250</v>
      </c>
      <c r="BC149" s="394"/>
      <c r="BD149" s="394"/>
    </row>
    <row r="150" spans="1:56" customFormat="1" ht="48" x14ac:dyDescent="0.25">
      <c r="A150" s="257">
        <v>148</v>
      </c>
      <c r="B150" s="299" t="s">
        <v>90</v>
      </c>
      <c r="C150" s="299" t="s">
        <v>78</v>
      </c>
      <c r="D150" s="299" t="s">
        <v>375</v>
      </c>
      <c r="E150" s="299"/>
      <c r="F150" s="350" t="s">
        <v>383</v>
      </c>
      <c r="G150" s="350" t="s">
        <v>374</v>
      </c>
      <c r="H150" s="299" t="s">
        <v>67</v>
      </c>
      <c r="I150" s="299"/>
      <c r="J150" s="251">
        <v>1967592.5925925926</v>
      </c>
      <c r="K150" s="300">
        <v>5.0000000000000044E-2</v>
      </c>
      <c r="L150" s="311">
        <v>1090695</v>
      </c>
      <c r="M150" s="299">
        <v>1</v>
      </c>
      <c r="N150" s="299" t="s">
        <v>686</v>
      </c>
      <c r="O150" s="250">
        <v>45339</v>
      </c>
      <c r="P150" s="316">
        <v>45472</v>
      </c>
      <c r="Q150" s="312">
        <v>5453475</v>
      </c>
      <c r="R150" s="317"/>
      <c r="S150" s="317"/>
      <c r="T150" s="312">
        <v>0</v>
      </c>
      <c r="U150" s="318">
        <v>5</v>
      </c>
      <c r="V150" s="352">
        <v>5453475</v>
      </c>
      <c r="W150" s="356">
        <v>1750000000</v>
      </c>
      <c r="X150" s="353">
        <v>-0.43899999999999995</v>
      </c>
      <c r="Y150" s="376"/>
      <c r="Z150" s="376" t="s">
        <v>376</v>
      </c>
      <c r="AA150" s="356">
        <v>981750000</v>
      </c>
      <c r="AB150" s="270" t="s">
        <v>243</v>
      </c>
      <c r="AC150" s="393" t="s">
        <v>373</v>
      </c>
      <c r="AD150" s="393" t="s">
        <v>361</v>
      </c>
      <c r="AE150" s="358" t="s">
        <v>244</v>
      </c>
      <c r="AF150" s="359" t="str">
        <f t="shared" si="78"/>
        <v>CLE-148</v>
      </c>
      <c r="AG150" s="270">
        <v>80111600</v>
      </c>
      <c r="AH150" s="310" t="s">
        <v>682</v>
      </c>
      <c r="AI150" s="301">
        <v>45327</v>
      </c>
      <c r="AJ150" s="301">
        <v>45327</v>
      </c>
      <c r="AK150" s="302">
        <v>5</v>
      </c>
      <c r="AL150" s="303" t="s">
        <v>241</v>
      </c>
      <c r="AM150" s="304" t="s">
        <v>242</v>
      </c>
      <c r="AN150" s="305">
        <v>5453475</v>
      </c>
      <c r="AO150" s="305">
        <v>5453475</v>
      </c>
      <c r="AP150" s="303" t="s">
        <v>244</v>
      </c>
      <c r="AQ150" s="303" t="s">
        <v>245</v>
      </c>
      <c r="AR150" s="360" t="s">
        <v>246</v>
      </c>
      <c r="AS150" s="306" t="s">
        <v>247</v>
      </c>
      <c r="AT150" s="307" t="s">
        <v>372</v>
      </c>
      <c r="AU150" s="308" t="s">
        <v>248</v>
      </c>
      <c r="AV150" s="361" t="s">
        <v>249</v>
      </c>
      <c r="AW150" s="303" t="s">
        <v>244</v>
      </c>
      <c r="AX150" s="303" t="s">
        <v>244</v>
      </c>
      <c r="AY150" s="394" t="s">
        <v>250</v>
      </c>
      <c r="AZ150" s="394" t="s">
        <v>251</v>
      </c>
      <c r="BA150" s="394" t="s">
        <v>252</v>
      </c>
      <c r="BB150" s="394" t="s">
        <v>250</v>
      </c>
      <c r="BC150" s="394"/>
      <c r="BD150" s="394"/>
    </row>
    <row r="151" spans="1:56" customFormat="1" ht="48" x14ac:dyDescent="0.25">
      <c r="A151" s="257">
        <v>149</v>
      </c>
      <c r="B151" s="299" t="s">
        <v>90</v>
      </c>
      <c r="C151" s="299" t="s">
        <v>78</v>
      </c>
      <c r="D151" s="299" t="s">
        <v>375</v>
      </c>
      <c r="E151" s="299"/>
      <c r="F151" s="350" t="s">
        <v>383</v>
      </c>
      <c r="G151" s="350" t="s">
        <v>374</v>
      </c>
      <c r="H151" s="299" t="s">
        <v>69</v>
      </c>
      <c r="I151" s="299"/>
      <c r="J151" s="251">
        <v>1967592.5925925926</v>
      </c>
      <c r="K151" s="300">
        <v>5.0000000000000044E-2</v>
      </c>
      <c r="L151" s="311">
        <v>932058</v>
      </c>
      <c r="M151" s="299">
        <v>1</v>
      </c>
      <c r="N151" s="299" t="s">
        <v>686</v>
      </c>
      <c r="O151" s="250">
        <v>45339</v>
      </c>
      <c r="P151" s="316">
        <v>45472</v>
      </c>
      <c r="Q151" s="312">
        <v>4660290</v>
      </c>
      <c r="R151" s="317"/>
      <c r="S151" s="317"/>
      <c r="T151" s="312">
        <v>0</v>
      </c>
      <c r="U151" s="318">
        <v>5</v>
      </c>
      <c r="V151" s="352">
        <v>4660290</v>
      </c>
      <c r="W151" s="356">
        <v>1750000000</v>
      </c>
      <c r="X151" s="353">
        <v>-0.43899999999999995</v>
      </c>
      <c r="Y151" s="376"/>
      <c r="Z151" s="376" t="s">
        <v>376</v>
      </c>
      <c r="AA151" s="356">
        <v>981750000</v>
      </c>
      <c r="AB151" s="270" t="s">
        <v>243</v>
      </c>
      <c r="AC151" s="393" t="s">
        <v>373</v>
      </c>
      <c r="AD151" s="393" t="s">
        <v>361</v>
      </c>
      <c r="AE151" s="358" t="s">
        <v>244</v>
      </c>
      <c r="AF151" s="359" t="str">
        <f t="shared" si="78"/>
        <v>CLE-149</v>
      </c>
      <c r="AG151" s="270">
        <v>80111600</v>
      </c>
      <c r="AH151" s="310" t="s">
        <v>682</v>
      </c>
      <c r="AI151" s="301">
        <v>45327</v>
      </c>
      <c r="AJ151" s="301">
        <v>45327</v>
      </c>
      <c r="AK151" s="302">
        <v>5</v>
      </c>
      <c r="AL151" s="303" t="s">
        <v>241</v>
      </c>
      <c r="AM151" s="304" t="s">
        <v>242</v>
      </c>
      <c r="AN151" s="305">
        <v>4660290</v>
      </c>
      <c r="AO151" s="305">
        <v>4660290</v>
      </c>
      <c r="AP151" s="303" t="s">
        <v>244</v>
      </c>
      <c r="AQ151" s="303" t="s">
        <v>245</v>
      </c>
      <c r="AR151" s="360" t="s">
        <v>246</v>
      </c>
      <c r="AS151" s="306" t="s">
        <v>247</v>
      </c>
      <c r="AT151" s="307" t="s">
        <v>372</v>
      </c>
      <c r="AU151" s="308" t="s">
        <v>248</v>
      </c>
      <c r="AV151" s="361" t="s">
        <v>249</v>
      </c>
      <c r="AW151" s="303" t="s">
        <v>244</v>
      </c>
      <c r="AX151" s="303" t="s">
        <v>244</v>
      </c>
      <c r="AY151" s="394" t="s">
        <v>250</v>
      </c>
      <c r="AZ151" s="394" t="s">
        <v>251</v>
      </c>
      <c r="BA151" s="394" t="s">
        <v>252</v>
      </c>
      <c r="BB151" s="394" t="s">
        <v>250</v>
      </c>
      <c r="BC151" s="394"/>
      <c r="BD151" s="394"/>
    </row>
    <row r="152" spans="1:56" customFormat="1" ht="48" x14ac:dyDescent="0.25">
      <c r="A152" s="257">
        <v>150</v>
      </c>
      <c r="B152" s="299" t="s">
        <v>90</v>
      </c>
      <c r="C152" s="299" t="s">
        <v>78</v>
      </c>
      <c r="D152" s="299" t="s">
        <v>375</v>
      </c>
      <c r="E152" s="299"/>
      <c r="F152" s="350" t="s">
        <v>383</v>
      </c>
      <c r="G152" s="350" t="s">
        <v>374</v>
      </c>
      <c r="H152" s="299" t="s">
        <v>69</v>
      </c>
      <c r="I152" s="299"/>
      <c r="J152" s="251">
        <v>1967592.5925925926</v>
      </c>
      <c r="K152" s="300">
        <v>5.0000000000000044E-2</v>
      </c>
      <c r="L152" s="311">
        <v>932058</v>
      </c>
      <c r="M152" s="299">
        <v>1</v>
      </c>
      <c r="N152" s="299" t="s">
        <v>686</v>
      </c>
      <c r="O152" s="250">
        <v>45339</v>
      </c>
      <c r="P152" s="316">
        <v>45472</v>
      </c>
      <c r="Q152" s="312">
        <v>4660290</v>
      </c>
      <c r="R152" s="317"/>
      <c r="S152" s="317"/>
      <c r="T152" s="312">
        <v>0</v>
      </c>
      <c r="U152" s="318">
        <v>5</v>
      </c>
      <c r="V152" s="352">
        <v>4660290</v>
      </c>
      <c r="W152" s="356">
        <v>1750000000</v>
      </c>
      <c r="X152" s="353">
        <v>-0.43899999999999995</v>
      </c>
      <c r="Y152" s="376"/>
      <c r="Z152" s="376" t="s">
        <v>376</v>
      </c>
      <c r="AA152" s="356">
        <v>981750000</v>
      </c>
      <c r="AB152" s="270" t="s">
        <v>243</v>
      </c>
      <c r="AC152" s="393" t="s">
        <v>373</v>
      </c>
      <c r="AD152" s="393" t="s">
        <v>361</v>
      </c>
      <c r="AE152" s="358" t="s">
        <v>244</v>
      </c>
      <c r="AF152" s="359" t="str">
        <f t="shared" si="78"/>
        <v>CLE-150</v>
      </c>
      <c r="AG152" s="270">
        <v>80111600</v>
      </c>
      <c r="AH152" s="310" t="s">
        <v>682</v>
      </c>
      <c r="AI152" s="301">
        <v>45327</v>
      </c>
      <c r="AJ152" s="301">
        <v>45327</v>
      </c>
      <c r="AK152" s="302">
        <v>5</v>
      </c>
      <c r="AL152" s="303" t="s">
        <v>241</v>
      </c>
      <c r="AM152" s="304" t="s">
        <v>242</v>
      </c>
      <c r="AN152" s="305">
        <v>4660290</v>
      </c>
      <c r="AO152" s="305">
        <v>4660290</v>
      </c>
      <c r="AP152" s="303" t="s">
        <v>244</v>
      </c>
      <c r="AQ152" s="303" t="s">
        <v>245</v>
      </c>
      <c r="AR152" s="360" t="s">
        <v>246</v>
      </c>
      <c r="AS152" s="306" t="s">
        <v>247</v>
      </c>
      <c r="AT152" s="307" t="s">
        <v>372</v>
      </c>
      <c r="AU152" s="308" t="s">
        <v>248</v>
      </c>
      <c r="AV152" s="361" t="s">
        <v>249</v>
      </c>
      <c r="AW152" s="303" t="s">
        <v>244</v>
      </c>
      <c r="AX152" s="303" t="s">
        <v>244</v>
      </c>
      <c r="AY152" s="394" t="s">
        <v>250</v>
      </c>
      <c r="AZ152" s="394" t="s">
        <v>251</v>
      </c>
      <c r="BA152" s="394" t="s">
        <v>252</v>
      </c>
      <c r="BB152" s="394" t="s">
        <v>250</v>
      </c>
      <c r="BC152" s="394"/>
      <c r="BD152" s="394"/>
    </row>
    <row r="153" spans="1:56" customFormat="1" ht="48" x14ac:dyDescent="0.25">
      <c r="A153" s="257">
        <v>151</v>
      </c>
      <c r="B153" s="299" t="s">
        <v>90</v>
      </c>
      <c r="C153" s="299" t="s">
        <v>78</v>
      </c>
      <c r="D153" s="299" t="s">
        <v>375</v>
      </c>
      <c r="E153" s="299"/>
      <c r="F153" s="350" t="s">
        <v>383</v>
      </c>
      <c r="G153" s="350" t="s">
        <v>374</v>
      </c>
      <c r="H153" s="299" t="s">
        <v>67</v>
      </c>
      <c r="I153" s="299"/>
      <c r="J153" s="251">
        <v>1967592.5925925926</v>
      </c>
      <c r="K153" s="300">
        <v>5.0000000000000044E-2</v>
      </c>
      <c r="L153" s="311">
        <v>1807312</v>
      </c>
      <c r="M153" s="299">
        <v>1</v>
      </c>
      <c r="N153" s="299" t="s">
        <v>686</v>
      </c>
      <c r="O153" s="250">
        <v>45339</v>
      </c>
      <c r="P153" s="316">
        <v>45472</v>
      </c>
      <c r="Q153" s="312">
        <v>9036560</v>
      </c>
      <c r="R153" s="317"/>
      <c r="S153" s="317"/>
      <c r="T153" s="312">
        <v>0</v>
      </c>
      <c r="U153" s="318">
        <v>5</v>
      </c>
      <c r="V153" s="352">
        <v>9036560</v>
      </c>
      <c r="W153" s="356">
        <v>1750000000</v>
      </c>
      <c r="X153" s="353">
        <v>-0.43899999999999995</v>
      </c>
      <c r="Y153" s="376"/>
      <c r="Z153" s="376" t="s">
        <v>376</v>
      </c>
      <c r="AA153" s="356">
        <v>981750000</v>
      </c>
      <c r="AB153" s="270" t="s">
        <v>243</v>
      </c>
      <c r="AC153" s="393" t="s">
        <v>373</v>
      </c>
      <c r="AD153" s="393" t="s">
        <v>361</v>
      </c>
      <c r="AE153" s="358" t="s">
        <v>244</v>
      </c>
      <c r="AF153" s="359" t="str">
        <f t="shared" si="78"/>
        <v>CLE-151</v>
      </c>
      <c r="AG153" s="270">
        <v>80111600</v>
      </c>
      <c r="AH153" s="310" t="s">
        <v>682</v>
      </c>
      <c r="AI153" s="301">
        <v>45327</v>
      </c>
      <c r="AJ153" s="301">
        <v>45327</v>
      </c>
      <c r="AK153" s="302">
        <v>5</v>
      </c>
      <c r="AL153" s="303" t="s">
        <v>241</v>
      </c>
      <c r="AM153" s="304" t="s">
        <v>242</v>
      </c>
      <c r="AN153" s="305">
        <v>9036560</v>
      </c>
      <c r="AO153" s="305">
        <v>9036560</v>
      </c>
      <c r="AP153" s="303" t="s">
        <v>244</v>
      </c>
      <c r="AQ153" s="303" t="s">
        <v>245</v>
      </c>
      <c r="AR153" s="360" t="s">
        <v>246</v>
      </c>
      <c r="AS153" s="306" t="s">
        <v>247</v>
      </c>
      <c r="AT153" s="307" t="s">
        <v>372</v>
      </c>
      <c r="AU153" s="308" t="s">
        <v>248</v>
      </c>
      <c r="AV153" s="361" t="s">
        <v>249</v>
      </c>
      <c r="AW153" s="303" t="s">
        <v>244</v>
      </c>
      <c r="AX153" s="303" t="s">
        <v>244</v>
      </c>
      <c r="AY153" s="394" t="s">
        <v>250</v>
      </c>
      <c r="AZ153" s="394" t="s">
        <v>251</v>
      </c>
      <c r="BA153" s="394" t="s">
        <v>252</v>
      </c>
      <c r="BB153" s="394" t="s">
        <v>250</v>
      </c>
      <c r="BC153" s="394"/>
      <c r="BD153" s="394"/>
    </row>
    <row r="154" spans="1:56" customFormat="1" ht="48" x14ac:dyDescent="0.25">
      <c r="A154" s="257">
        <v>152</v>
      </c>
      <c r="B154" s="299" t="s">
        <v>90</v>
      </c>
      <c r="C154" s="299" t="s">
        <v>78</v>
      </c>
      <c r="D154" s="299" t="s">
        <v>375</v>
      </c>
      <c r="E154" s="299"/>
      <c r="F154" s="350" t="s">
        <v>383</v>
      </c>
      <c r="G154" s="350" t="s">
        <v>374</v>
      </c>
      <c r="H154" s="299" t="s">
        <v>69</v>
      </c>
      <c r="I154" s="299"/>
      <c r="J154" s="251">
        <v>1967592.5925925926</v>
      </c>
      <c r="K154" s="300">
        <v>5.0000000000000044E-2</v>
      </c>
      <c r="L154" s="311">
        <v>932058</v>
      </c>
      <c r="M154" s="299">
        <v>1</v>
      </c>
      <c r="N154" s="299" t="s">
        <v>686</v>
      </c>
      <c r="O154" s="250">
        <v>45339</v>
      </c>
      <c r="P154" s="316">
        <v>45472</v>
      </c>
      <c r="Q154" s="312">
        <v>4660290</v>
      </c>
      <c r="R154" s="317"/>
      <c r="S154" s="317"/>
      <c r="T154" s="312">
        <v>0</v>
      </c>
      <c r="U154" s="318">
        <v>5</v>
      </c>
      <c r="V154" s="352">
        <v>4660290</v>
      </c>
      <c r="W154" s="356">
        <v>1750000000</v>
      </c>
      <c r="X154" s="353">
        <v>-0.43899999999999995</v>
      </c>
      <c r="Y154" s="376"/>
      <c r="Z154" s="376" t="s">
        <v>376</v>
      </c>
      <c r="AA154" s="356">
        <v>981750000</v>
      </c>
      <c r="AB154" s="270" t="s">
        <v>243</v>
      </c>
      <c r="AC154" s="393" t="s">
        <v>373</v>
      </c>
      <c r="AD154" s="393" t="s">
        <v>361</v>
      </c>
      <c r="AE154" s="358" t="s">
        <v>244</v>
      </c>
      <c r="AF154" s="359" t="str">
        <f t="shared" si="78"/>
        <v>CLE-152</v>
      </c>
      <c r="AG154" s="270">
        <v>80111600</v>
      </c>
      <c r="AH154" s="310" t="s">
        <v>682</v>
      </c>
      <c r="AI154" s="301">
        <v>45327</v>
      </c>
      <c r="AJ154" s="301">
        <v>45327</v>
      </c>
      <c r="AK154" s="302">
        <v>5</v>
      </c>
      <c r="AL154" s="303" t="s">
        <v>241</v>
      </c>
      <c r="AM154" s="304" t="s">
        <v>242</v>
      </c>
      <c r="AN154" s="305">
        <v>4660290</v>
      </c>
      <c r="AO154" s="305">
        <v>4660290</v>
      </c>
      <c r="AP154" s="303" t="s">
        <v>244</v>
      </c>
      <c r="AQ154" s="303" t="s">
        <v>245</v>
      </c>
      <c r="AR154" s="360" t="s">
        <v>246</v>
      </c>
      <c r="AS154" s="306" t="s">
        <v>247</v>
      </c>
      <c r="AT154" s="307" t="s">
        <v>372</v>
      </c>
      <c r="AU154" s="308" t="s">
        <v>248</v>
      </c>
      <c r="AV154" s="361" t="s">
        <v>249</v>
      </c>
      <c r="AW154" s="303" t="s">
        <v>244</v>
      </c>
      <c r="AX154" s="303" t="s">
        <v>244</v>
      </c>
      <c r="AY154" s="394" t="s">
        <v>250</v>
      </c>
      <c r="AZ154" s="394" t="s">
        <v>251</v>
      </c>
      <c r="BA154" s="394" t="s">
        <v>252</v>
      </c>
      <c r="BB154" s="394" t="s">
        <v>250</v>
      </c>
      <c r="BC154" s="394"/>
      <c r="BD154" s="394"/>
    </row>
    <row r="155" spans="1:56" customFormat="1" ht="48" x14ac:dyDescent="0.25">
      <c r="A155" s="257">
        <v>153</v>
      </c>
      <c r="B155" s="299" t="s">
        <v>90</v>
      </c>
      <c r="C155" s="299" t="s">
        <v>78</v>
      </c>
      <c r="D155" s="299" t="s">
        <v>375</v>
      </c>
      <c r="E155" s="299"/>
      <c r="F155" s="350" t="s">
        <v>383</v>
      </c>
      <c r="G155" s="350" t="s">
        <v>374</v>
      </c>
      <c r="H155" s="299" t="s">
        <v>69</v>
      </c>
      <c r="I155" s="299"/>
      <c r="J155" s="251">
        <v>1967592.5925925926</v>
      </c>
      <c r="K155" s="300">
        <v>5.0000000000000044E-2</v>
      </c>
      <c r="L155" s="311">
        <v>1490036</v>
      </c>
      <c r="M155" s="299">
        <v>1</v>
      </c>
      <c r="N155" s="299" t="s">
        <v>686</v>
      </c>
      <c r="O155" s="250">
        <v>45339</v>
      </c>
      <c r="P155" s="316">
        <v>45472</v>
      </c>
      <c r="Q155" s="312">
        <v>7450180</v>
      </c>
      <c r="R155" s="317"/>
      <c r="S155" s="317"/>
      <c r="T155" s="312">
        <v>0</v>
      </c>
      <c r="U155" s="318">
        <v>5</v>
      </c>
      <c r="V155" s="352">
        <v>7450180</v>
      </c>
      <c r="W155" s="356">
        <v>1750000000</v>
      </c>
      <c r="X155" s="353">
        <v>-0.43899999999999995</v>
      </c>
      <c r="Y155" s="376"/>
      <c r="Z155" s="376" t="s">
        <v>376</v>
      </c>
      <c r="AA155" s="356">
        <v>981750000</v>
      </c>
      <c r="AB155" s="270" t="s">
        <v>243</v>
      </c>
      <c r="AC155" s="393" t="s">
        <v>373</v>
      </c>
      <c r="AD155" s="393" t="s">
        <v>361</v>
      </c>
      <c r="AE155" s="358" t="s">
        <v>244</v>
      </c>
      <c r="AF155" s="359" t="str">
        <f t="shared" si="78"/>
        <v>CLE-153</v>
      </c>
      <c r="AG155" s="270">
        <v>80111600</v>
      </c>
      <c r="AH155" s="310" t="s">
        <v>682</v>
      </c>
      <c r="AI155" s="301">
        <v>45327</v>
      </c>
      <c r="AJ155" s="301">
        <v>45327</v>
      </c>
      <c r="AK155" s="302">
        <v>5</v>
      </c>
      <c r="AL155" s="303" t="s">
        <v>241</v>
      </c>
      <c r="AM155" s="304" t="s">
        <v>242</v>
      </c>
      <c r="AN155" s="305">
        <v>7450180</v>
      </c>
      <c r="AO155" s="305">
        <v>7450180</v>
      </c>
      <c r="AP155" s="303" t="s">
        <v>244</v>
      </c>
      <c r="AQ155" s="303" t="s">
        <v>245</v>
      </c>
      <c r="AR155" s="360" t="s">
        <v>246</v>
      </c>
      <c r="AS155" s="306" t="s">
        <v>247</v>
      </c>
      <c r="AT155" s="307" t="s">
        <v>372</v>
      </c>
      <c r="AU155" s="308" t="s">
        <v>248</v>
      </c>
      <c r="AV155" s="361" t="s">
        <v>249</v>
      </c>
      <c r="AW155" s="303" t="s">
        <v>244</v>
      </c>
      <c r="AX155" s="303" t="s">
        <v>244</v>
      </c>
      <c r="AY155" s="394" t="s">
        <v>250</v>
      </c>
      <c r="AZ155" s="394" t="s">
        <v>251</v>
      </c>
      <c r="BA155" s="394" t="s">
        <v>252</v>
      </c>
      <c r="BB155" s="394" t="s">
        <v>250</v>
      </c>
      <c r="BC155" s="394"/>
      <c r="BD155" s="394"/>
    </row>
    <row r="156" spans="1:56" customFormat="1" ht="25.5" customHeight="1" x14ac:dyDescent="0.25">
      <c r="A156" s="257">
        <v>154</v>
      </c>
      <c r="B156" s="299" t="s">
        <v>90</v>
      </c>
      <c r="C156" s="299" t="s">
        <v>78</v>
      </c>
      <c r="D156" s="299" t="s">
        <v>375</v>
      </c>
      <c r="E156" s="299"/>
      <c r="F156" s="350" t="s">
        <v>383</v>
      </c>
      <c r="G156" s="350" t="s">
        <v>374</v>
      </c>
      <c r="H156" s="299" t="s">
        <v>69</v>
      </c>
      <c r="I156" s="299"/>
      <c r="J156" s="251">
        <v>1967592.5925925926</v>
      </c>
      <c r="K156" s="300">
        <v>5.0000000000000044E-2</v>
      </c>
      <c r="L156" s="311">
        <v>932058</v>
      </c>
      <c r="M156" s="299">
        <v>1</v>
      </c>
      <c r="N156" s="299" t="s">
        <v>686</v>
      </c>
      <c r="O156" s="250">
        <v>45339</v>
      </c>
      <c r="P156" s="316">
        <v>45472</v>
      </c>
      <c r="Q156" s="312">
        <v>4660290</v>
      </c>
      <c r="R156" s="317"/>
      <c r="S156" s="317"/>
      <c r="T156" s="312">
        <v>0</v>
      </c>
      <c r="U156" s="318">
        <v>5</v>
      </c>
      <c r="V156" s="352">
        <v>4660290</v>
      </c>
      <c r="W156" s="356">
        <v>1750000000</v>
      </c>
      <c r="X156" s="353">
        <v>-0.43899999999999995</v>
      </c>
      <c r="Y156" s="376"/>
      <c r="Z156" s="376" t="s">
        <v>376</v>
      </c>
      <c r="AA156" s="356">
        <v>981750000</v>
      </c>
      <c r="AB156" s="270" t="s">
        <v>243</v>
      </c>
      <c r="AC156" s="393" t="s">
        <v>373</v>
      </c>
      <c r="AD156" s="393" t="s">
        <v>361</v>
      </c>
      <c r="AE156" s="358" t="s">
        <v>244</v>
      </c>
      <c r="AF156" s="359" t="str">
        <f t="shared" si="78"/>
        <v>CLE-154</v>
      </c>
      <c r="AG156" s="270">
        <v>80111600</v>
      </c>
      <c r="AH156" s="310" t="s">
        <v>682</v>
      </c>
      <c r="AI156" s="301">
        <v>45327</v>
      </c>
      <c r="AJ156" s="301">
        <v>45327</v>
      </c>
      <c r="AK156" s="302">
        <v>5</v>
      </c>
      <c r="AL156" s="303" t="s">
        <v>241</v>
      </c>
      <c r="AM156" s="304" t="s">
        <v>242</v>
      </c>
      <c r="AN156" s="305">
        <v>4660290</v>
      </c>
      <c r="AO156" s="305">
        <v>4660290</v>
      </c>
      <c r="AP156" s="303" t="s">
        <v>244</v>
      </c>
      <c r="AQ156" s="303" t="s">
        <v>245</v>
      </c>
      <c r="AR156" s="360" t="s">
        <v>246</v>
      </c>
      <c r="AS156" s="306" t="s">
        <v>247</v>
      </c>
      <c r="AT156" s="307" t="s">
        <v>372</v>
      </c>
      <c r="AU156" s="308" t="s">
        <v>248</v>
      </c>
      <c r="AV156" s="361" t="s">
        <v>249</v>
      </c>
      <c r="AW156" s="303" t="s">
        <v>244</v>
      </c>
      <c r="AX156" s="303" t="s">
        <v>244</v>
      </c>
      <c r="AY156" s="394" t="s">
        <v>250</v>
      </c>
      <c r="AZ156" s="394" t="s">
        <v>251</v>
      </c>
      <c r="BA156" s="394" t="s">
        <v>252</v>
      </c>
      <c r="BB156" s="394" t="s">
        <v>250</v>
      </c>
      <c r="BC156" s="394"/>
      <c r="BD156" s="394"/>
    </row>
    <row r="157" spans="1:56" customFormat="1" ht="48" x14ac:dyDescent="0.25">
      <c r="A157" s="257">
        <v>155</v>
      </c>
      <c r="B157" s="299" t="s">
        <v>90</v>
      </c>
      <c r="C157" s="299" t="s">
        <v>78</v>
      </c>
      <c r="D157" s="299" t="s">
        <v>375</v>
      </c>
      <c r="E157" s="299"/>
      <c r="F157" s="350" t="s">
        <v>383</v>
      </c>
      <c r="G157" s="350" t="s">
        <v>374</v>
      </c>
      <c r="H157" s="299" t="s">
        <v>69</v>
      </c>
      <c r="I157" s="299"/>
      <c r="J157" s="251">
        <v>1967592.5925925926</v>
      </c>
      <c r="K157" s="300">
        <v>5.0000000000000044E-2</v>
      </c>
      <c r="L157" s="311">
        <v>932058</v>
      </c>
      <c r="M157" s="299">
        <v>1</v>
      </c>
      <c r="N157" s="299" t="s">
        <v>686</v>
      </c>
      <c r="O157" s="250">
        <v>45339</v>
      </c>
      <c r="P157" s="316">
        <v>45472</v>
      </c>
      <c r="Q157" s="312">
        <v>4660290</v>
      </c>
      <c r="R157" s="317"/>
      <c r="S157" s="317"/>
      <c r="T157" s="312">
        <v>0</v>
      </c>
      <c r="U157" s="318">
        <v>5</v>
      </c>
      <c r="V157" s="352">
        <v>4660290</v>
      </c>
      <c r="W157" s="356">
        <v>1750000000</v>
      </c>
      <c r="X157" s="353">
        <v>-0.43899999999999995</v>
      </c>
      <c r="Y157" s="376"/>
      <c r="Z157" s="376" t="s">
        <v>376</v>
      </c>
      <c r="AA157" s="356">
        <v>981750000</v>
      </c>
      <c r="AB157" s="270" t="s">
        <v>243</v>
      </c>
      <c r="AC157" s="393" t="s">
        <v>373</v>
      </c>
      <c r="AD157" s="393" t="s">
        <v>361</v>
      </c>
      <c r="AE157" s="358" t="s">
        <v>244</v>
      </c>
      <c r="AF157" s="359" t="str">
        <f t="shared" si="78"/>
        <v>CLE-155</v>
      </c>
      <c r="AG157" s="270">
        <v>80111600</v>
      </c>
      <c r="AH157" s="310" t="s">
        <v>682</v>
      </c>
      <c r="AI157" s="301">
        <v>45327</v>
      </c>
      <c r="AJ157" s="301">
        <v>45327</v>
      </c>
      <c r="AK157" s="302">
        <v>5</v>
      </c>
      <c r="AL157" s="303" t="s">
        <v>241</v>
      </c>
      <c r="AM157" s="304" t="s">
        <v>242</v>
      </c>
      <c r="AN157" s="305">
        <v>4660290</v>
      </c>
      <c r="AO157" s="305">
        <v>4660290</v>
      </c>
      <c r="AP157" s="303" t="s">
        <v>244</v>
      </c>
      <c r="AQ157" s="303" t="s">
        <v>245</v>
      </c>
      <c r="AR157" s="360" t="s">
        <v>246</v>
      </c>
      <c r="AS157" s="306" t="s">
        <v>247</v>
      </c>
      <c r="AT157" s="307" t="s">
        <v>372</v>
      </c>
      <c r="AU157" s="308" t="s">
        <v>248</v>
      </c>
      <c r="AV157" s="361" t="s">
        <v>249</v>
      </c>
      <c r="AW157" s="303" t="s">
        <v>244</v>
      </c>
      <c r="AX157" s="303" t="s">
        <v>244</v>
      </c>
      <c r="AY157" s="394" t="s">
        <v>250</v>
      </c>
      <c r="AZ157" s="394" t="s">
        <v>251</v>
      </c>
      <c r="BA157" s="394" t="s">
        <v>252</v>
      </c>
      <c r="BB157" s="394" t="s">
        <v>250</v>
      </c>
      <c r="BC157" s="394"/>
      <c r="BD157" s="394"/>
    </row>
    <row r="158" spans="1:56" customFormat="1" ht="48" x14ac:dyDescent="0.25">
      <c r="A158" s="257">
        <v>156</v>
      </c>
      <c r="B158" s="299" t="s">
        <v>90</v>
      </c>
      <c r="C158" s="299" t="s">
        <v>78</v>
      </c>
      <c r="D158" s="299" t="s">
        <v>375</v>
      </c>
      <c r="E158" s="299"/>
      <c r="F158" s="350" t="s">
        <v>383</v>
      </c>
      <c r="G158" s="350" t="s">
        <v>374</v>
      </c>
      <c r="H158" s="299" t="s">
        <v>69</v>
      </c>
      <c r="I158" s="299"/>
      <c r="J158" s="251">
        <v>1967592.5925925926</v>
      </c>
      <c r="K158" s="300">
        <v>5.0000000000000044E-2</v>
      </c>
      <c r="L158" s="311">
        <v>932058</v>
      </c>
      <c r="M158" s="299">
        <v>1</v>
      </c>
      <c r="N158" s="299" t="s">
        <v>686</v>
      </c>
      <c r="O158" s="250">
        <v>45339</v>
      </c>
      <c r="P158" s="316">
        <v>45472</v>
      </c>
      <c r="Q158" s="312">
        <v>4660290</v>
      </c>
      <c r="R158" s="317"/>
      <c r="S158" s="317"/>
      <c r="T158" s="312">
        <v>0</v>
      </c>
      <c r="U158" s="318">
        <v>5</v>
      </c>
      <c r="V158" s="352">
        <v>4660290</v>
      </c>
      <c r="W158" s="356">
        <v>1750000000</v>
      </c>
      <c r="X158" s="353">
        <v>-0.43899999999999995</v>
      </c>
      <c r="Y158" s="376"/>
      <c r="Z158" s="376" t="s">
        <v>376</v>
      </c>
      <c r="AA158" s="356">
        <v>981750000</v>
      </c>
      <c r="AB158" s="270" t="s">
        <v>243</v>
      </c>
      <c r="AC158" s="393" t="s">
        <v>373</v>
      </c>
      <c r="AD158" s="393" t="s">
        <v>361</v>
      </c>
      <c r="AE158" s="358" t="s">
        <v>244</v>
      </c>
      <c r="AF158" s="359" t="str">
        <f t="shared" si="78"/>
        <v>CLE-156</v>
      </c>
      <c r="AG158" s="270">
        <v>80111600</v>
      </c>
      <c r="AH158" s="310" t="s">
        <v>682</v>
      </c>
      <c r="AI158" s="301">
        <v>45327</v>
      </c>
      <c r="AJ158" s="301">
        <v>45327</v>
      </c>
      <c r="AK158" s="302">
        <v>5</v>
      </c>
      <c r="AL158" s="303" t="s">
        <v>241</v>
      </c>
      <c r="AM158" s="304" t="s">
        <v>242</v>
      </c>
      <c r="AN158" s="305">
        <v>4660290</v>
      </c>
      <c r="AO158" s="305">
        <v>4660290</v>
      </c>
      <c r="AP158" s="303" t="s">
        <v>244</v>
      </c>
      <c r="AQ158" s="303" t="s">
        <v>245</v>
      </c>
      <c r="AR158" s="360" t="s">
        <v>246</v>
      </c>
      <c r="AS158" s="306" t="s">
        <v>247</v>
      </c>
      <c r="AT158" s="307" t="s">
        <v>372</v>
      </c>
      <c r="AU158" s="308" t="s">
        <v>248</v>
      </c>
      <c r="AV158" s="361" t="s">
        <v>249</v>
      </c>
      <c r="AW158" s="303" t="s">
        <v>244</v>
      </c>
      <c r="AX158" s="303" t="s">
        <v>244</v>
      </c>
      <c r="AY158" s="394" t="s">
        <v>250</v>
      </c>
      <c r="AZ158" s="394" t="s">
        <v>251</v>
      </c>
      <c r="BA158" s="394" t="s">
        <v>252</v>
      </c>
      <c r="BB158" s="394" t="s">
        <v>250</v>
      </c>
      <c r="BC158" s="394"/>
      <c r="BD158" s="394"/>
    </row>
    <row r="159" spans="1:56" customFormat="1" ht="48" x14ac:dyDescent="0.25">
      <c r="A159" s="257">
        <v>157</v>
      </c>
      <c r="B159" s="299" t="s">
        <v>90</v>
      </c>
      <c r="C159" s="299" t="s">
        <v>78</v>
      </c>
      <c r="D159" s="299" t="s">
        <v>375</v>
      </c>
      <c r="E159" s="299"/>
      <c r="F159" s="350" t="s">
        <v>383</v>
      </c>
      <c r="G159" s="350" t="s">
        <v>374</v>
      </c>
      <c r="H159" s="299" t="s">
        <v>69</v>
      </c>
      <c r="I159" s="299"/>
      <c r="J159" s="251">
        <v>1967592.5925925926</v>
      </c>
      <c r="K159" s="300">
        <v>5.0000000000000044E-2</v>
      </c>
      <c r="L159" s="311">
        <v>932058</v>
      </c>
      <c r="M159" s="299">
        <v>1</v>
      </c>
      <c r="N159" s="299" t="s">
        <v>686</v>
      </c>
      <c r="O159" s="250">
        <v>45339</v>
      </c>
      <c r="P159" s="316">
        <v>45472</v>
      </c>
      <c r="Q159" s="312">
        <v>4660290</v>
      </c>
      <c r="R159" s="317"/>
      <c r="S159" s="317"/>
      <c r="T159" s="312">
        <v>0</v>
      </c>
      <c r="U159" s="318">
        <v>5</v>
      </c>
      <c r="V159" s="352">
        <v>4660290</v>
      </c>
      <c r="W159" s="356">
        <v>1750000000</v>
      </c>
      <c r="X159" s="353">
        <v>-0.43899999999999995</v>
      </c>
      <c r="Y159" s="376"/>
      <c r="Z159" s="376" t="s">
        <v>376</v>
      </c>
      <c r="AA159" s="356">
        <v>981750000</v>
      </c>
      <c r="AB159" s="270" t="s">
        <v>243</v>
      </c>
      <c r="AC159" s="393" t="s">
        <v>373</v>
      </c>
      <c r="AD159" s="393" t="s">
        <v>361</v>
      </c>
      <c r="AE159" s="358" t="s">
        <v>244</v>
      </c>
      <c r="AF159" s="359" t="str">
        <f t="shared" si="78"/>
        <v>CLE-157</v>
      </c>
      <c r="AG159" s="270">
        <v>80111600</v>
      </c>
      <c r="AH159" s="310" t="s">
        <v>682</v>
      </c>
      <c r="AI159" s="301">
        <v>45327</v>
      </c>
      <c r="AJ159" s="301">
        <v>45327</v>
      </c>
      <c r="AK159" s="302">
        <v>5</v>
      </c>
      <c r="AL159" s="303" t="s">
        <v>241</v>
      </c>
      <c r="AM159" s="304" t="s">
        <v>242</v>
      </c>
      <c r="AN159" s="305">
        <v>4660290</v>
      </c>
      <c r="AO159" s="305">
        <v>4660290</v>
      </c>
      <c r="AP159" s="303" t="s">
        <v>244</v>
      </c>
      <c r="AQ159" s="303" t="s">
        <v>245</v>
      </c>
      <c r="AR159" s="360" t="s">
        <v>246</v>
      </c>
      <c r="AS159" s="306" t="s">
        <v>247</v>
      </c>
      <c r="AT159" s="307" t="s">
        <v>372</v>
      </c>
      <c r="AU159" s="308" t="s">
        <v>248</v>
      </c>
      <c r="AV159" s="361" t="s">
        <v>249</v>
      </c>
      <c r="AW159" s="303" t="s">
        <v>244</v>
      </c>
      <c r="AX159" s="303" t="s">
        <v>244</v>
      </c>
      <c r="AY159" s="394" t="s">
        <v>250</v>
      </c>
      <c r="AZ159" s="394" t="s">
        <v>251</v>
      </c>
      <c r="BA159" s="394" t="s">
        <v>252</v>
      </c>
      <c r="BB159" s="394" t="s">
        <v>250</v>
      </c>
      <c r="BC159" s="394"/>
      <c r="BD159" s="394"/>
    </row>
    <row r="160" spans="1:56" customFormat="1" ht="48" x14ac:dyDescent="0.25">
      <c r="A160" s="257">
        <v>158</v>
      </c>
      <c r="B160" s="299" t="s">
        <v>90</v>
      </c>
      <c r="C160" s="299" t="s">
        <v>78</v>
      </c>
      <c r="D160" s="299" t="s">
        <v>375</v>
      </c>
      <c r="E160" s="299"/>
      <c r="F160" s="350" t="s">
        <v>383</v>
      </c>
      <c r="G160" s="350" t="s">
        <v>374</v>
      </c>
      <c r="H160" s="299" t="s">
        <v>69</v>
      </c>
      <c r="I160" s="299"/>
      <c r="J160" s="251">
        <v>1967592.5925925926</v>
      </c>
      <c r="K160" s="300">
        <v>5.0000000000000044E-2</v>
      </c>
      <c r="L160" s="311">
        <v>932058</v>
      </c>
      <c r="M160" s="299">
        <v>1</v>
      </c>
      <c r="N160" s="299" t="s">
        <v>686</v>
      </c>
      <c r="O160" s="250">
        <v>45339</v>
      </c>
      <c r="P160" s="316">
        <v>45472</v>
      </c>
      <c r="Q160" s="312">
        <v>4660290</v>
      </c>
      <c r="R160" s="317"/>
      <c r="S160" s="317"/>
      <c r="T160" s="312">
        <v>0</v>
      </c>
      <c r="U160" s="318">
        <v>5</v>
      </c>
      <c r="V160" s="352">
        <v>4660290</v>
      </c>
      <c r="W160" s="356">
        <v>1750000000</v>
      </c>
      <c r="X160" s="353">
        <v>-0.43899999999999995</v>
      </c>
      <c r="Y160" s="376"/>
      <c r="Z160" s="376" t="s">
        <v>376</v>
      </c>
      <c r="AA160" s="356">
        <v>981750000</v>
      </c>
      <c r="AB160" s="270" t="s">
        <v>243</v>
      </c>
      <c r="AC160" s="393" t="s">
        <v>373</v>
      </c>
      <c r="AD160" s="393" t="s">
        <v>361</v>
      </c>
      <c r="AE160" s="358" t="s">
        <v>244</v>
      </c>
      <c r="AF160" s="359" t="str">
        <f t="shared" si="78"/>
        <v>CLE-158</v>
      </c>
      <c r="AG160" s="270">
        <v>80111600</v>
      </c>
      <c r="AH160" s="310" t="s">
        <v>682</v>
      </c>
      <c r="AI160" s="301">
        <v>45327</v>
      </c>
      <c r="AJ160" s="301">
        <v>45327</v>
      </c>
      <c r="AK160" s="302">
        <v>5</v>
      </c>
      <c r="AL160" s="303" t="s">
        <v>241</v>
      </c>
      <c r="AM160" s="304" t="s">
        <v>242</v>
      </c>
      <c r="AN160" s="305">
        <v>4660290</v>
      </c>
      <c r="AO160" s="305">
        <v>4660290</v>
      </c>
      <c r="AP160" s="303" t="s">
        <v>244</v>
      </c>
      <c r="AQ160" s="303" t="s">
        <v>245</v>
      </c>
      <c r="AR160" s="360" t="s">
        <v>246</v>
      </c>
      <c r="AS160" s="306" t="s">
        <v>247</v>
      </c>
      <c r="AT160" s="307" t="s">
        <v>372</v>
      </c>
      <c r="AU160" s="308" t="s">
        <v>248</v>
      </c>
      <c r="AV160" s="361" t="s">
        <v>249</v>
      </c>
      <c r="AW160" s="303" t="s">
        <v>244</v>
      </c>
      <c r="AX160" s="303" t="s">
        <v>244</v>
      </c>
      <c r="AY160" s="394" t="s">
        <v>250</v>
      </c>
      <c r="AZ160" s="394" t="s">
        <v>251</v>
      </c>
      <c r="BA160" s="394" t="s">
        <v>252</v>
      </c>
      <c r="BB160" s="394" t="s">
        <v>250</v>
      </c>
      <c r="BC160" s="394"/>
      <c r="BD160" s="394"/>
    </row>
    <row r="161" spans="1:56" customFormat="1" ht="48" x14ac:dyDescent="0.25">
      <c r="A161" s="257">
        <v>159</v>
      </c>
      <c r="B161" s="299" t="s">
        <v>90</v>
      </c>
      <c r="C161" s="299" t="s">
        <v>78</v>
      </c>
      <c r="D161" s="299" t="s">
        <v>375</v>
      </c>
      <c r="E161" s="299"/>
      <c r="F161" s="350" t="s">
        <v>383</v>
      </c>
      <c r="G161" s="350" t="s">
        <v>374</v>
      </c>
      <c r="H161" s="299" t="s">
        <v>69</v>
      </c>
      <c r="I161" s="299"/>
      <c r="J161" s="251">
        <v>1967592.5925925926</v>
      </c>
      <c r="K161" s="300">
        <v>5.0000000000000044E-2</v>
      </c>
      <c r="L161" s="311">
        <v>932058</v>
      </c>
      <c r="M161" s="299">
        <v>1</v>
      </c>
      <c r="N161" s="299" t="s">
        <v>686</v>
      </c>
      <c r="O161" s="250">
        <v>45339</v>
      </c>
      <c r="P161" s="316">
        <v>45472</v>
      </c>
      <c r="Q161" s="312">
        <v>4660290</v>
      </c>
      <c r="R161" s="317"/>
      <c r="S161" s="317"/>
      <c r="T161" s="312">
        <v>0</v>
      </c>
      <c r="U161" s="318">
        <v>5</v>
      </c>
      <c r="V161" s="352">
        <v>4660290</v>
      </c>
      <c r="W161" s="356">
        <v>1750000000</v>
      </c>
      <c r="X161" s="353">
        <v>-0.43899999999999995</v>
      </c>
      <c r="Y161" s="376"/>
      <c r="Z161" s="376" t="s">
        <v>376</v>
      </c>
      <c r="AA161" s="356">
        <v>981750000</v>
      </c>
      <c r="AB161" s="270" t="s">
        <v>243</v>
      </c>
      <c r="AC161" s="393" t="s">
        <v>373</v>
      </c>
      <c r="AD161" s="393" t="s">
        <v>361</v>
      </c>
      <c r="AE161" s="358" t="s">
        <v>244</v>
      </c>
      <c r="AF161" s="359" t="str">
        <f t="shared" si="78"/>
        <v>CLE-159</v>
      </c>
      <c r="AG161" s="270">
        <v>80111600</v>
      </c>
      <c r="AH161" s="310" t="s">
        <v>682</v>
      </c>
      <c r="AI161" s="301">
        <v>45327</v>
      </c>
      <c r="AJ161" s="301">
        <v>45327</v>
      </c>
      <c r="AK161" s="302">
        <v>5</v>
      </c>
      <c r="AL161" s="303" t="s">
        <v>241</v>
      </c>
      <c r="AM161" s="304" t="s">
        <v>242</v>
      </c>
      <c r="AN161" s="305">
        <v>4660290</v>
      </c>
      <c r="AO161" s="305">
        <v>4660290</v>
      </c>
      <c r="AP161" s="303" t="s">
        <v>244</v>
      </c>
      <c r="AQ161" s="303" t="s">
        <v>245</v>
      </c>
      <c r="AR161" s="360" t="s">
        <v>246</v>
      </c>
      <c r="AS161" s="306" t="s">
        <v>247</v>
      </c>
      <c r="AT161" s="307" t="s">
        <v>372</v>
      </c>
      <c r="AU161" s="308" t="s">
        <v>248</v>
      </c>
      <c r="AV161" s="361" t="s">
        <v>249</v>
      </c>
      <c r="AW161" s="303" t="s">
        <v>244</v>
      </c>
      <c r="AX161" s="303" t="s">
        <v>244</v>
      </c>
      <c r="AY161" s="394" t="s">
        <v>250</v>
      </c>
      <c r="AZ161" s="394" t="s">
        <v>251</v>
      </c>
      <c r="BA161" s="394" t="s">
        <v>252</v>
      </c>
      <c r="BB161" s="394" t="s">
        <v>250</v>
      </c>
      <c r="BC161" s="394"/>
      <c r="BD161" s="394"/>
    </row>
    <row r="162" spans="1:56" customFormat="1" ht="48" x14ac:dyDescent="0.25">
      <c r="A162" s="257">
        <v>160</v>
      </c>
      <c r="B162" s="299" t="s">
        <v>90</v>
      </c>
      <c r="C162" s="299" t="s">
        <v>78</v>
      </c>
      <c r="D162" s="299" t="s">
        <v>375</v>
      </c>
      <c r="E162" s="299"/>
      <c r="F162" s="350" t="s">
        <v>383</v>
      </c>
      <c r="G162" s="350" t="s">
        <v>374</v>
      </c>
      <c r="H162" s="299" t="s">
        <v>69</v>
      </c>
      <c r="I162" s="299"/>
      <c r="J162" s="251">
        <v>1967592.5925925926</v>
      </c>
      <c r="K162" s="300">
        <v>5.0000000000000044E-2</v>
      </c>
      <c r="L162" s="311">
        <v>932058</v>
      </c>
      <c r="M162" s="299">
        <v>1</v>
      </c>
      <c r="N162" s="299" t="s">
        <v>686</v>
      </c>
      <c r="O162" s="250">
        <v>45339</v>
      </c>
      <c r="P162" s="316">
        <v>45472</v>
      </c>
      <c r="Q162" s="312">
        <v>4660290</v>
      </c>
      <c r="R162" s="317"/>
      <c r="S162" s="317"/>
      <c r="T162" s="312">
        <v>0</v>
      </c>
      <c r="U162" s="318">
        <v>5</v>
      </c>
      <c r="V162" s="352">
        <v>4660290</v>
      </c>
      <c r="W162" s="356">
        <v>1750000000</v>
      </c>
      <c r="X162" s="353">
        <v>-0.43899999999999995</v>
      </c>
      <c r="Y162" s="376"/>
      <c r="Z162" s="376" t="s">
        <v>376</v>
      </c>
      <c r="AA162" s="356">
        <v>981750000</v>
      </c>
      <c r="AB162" s="270" t="s">
        <v>243</v>
      </c>
      <c r="AC162" s="393" t="s">
        <v>373</v>
      </c>
      <c r="AD162" s="393" t="s">
        <v>361</v>
      </c>
      <c r="AE162" s="358" t="s">
        <v>244</v>
      </c>
      <c r="AF162" s="359" t="str">
        <f t="shared" si="78"/>
        <v>CLE-160</v>
      </c>
      <c r="AG162" s="270">
        <v>80111600</v>
      </c>
      <c r="AH162" s="310" t="s">
        <v>682</v>
      </c>
      <c r="AI162" s="301">
        <v>45327</v>
      </c>
      <c r="AJ162" s="301">
        <v>45327</v>
      </c>
      <c r="AK162" s="302">
        <v>5</v>
      </c>
      <c r="AL162" s="303" t="s">
        <v>241</v>
      </c>
      <c r="AM162" s="304" t="s">
        <v>242</v>
      </c>
      <c r="AN162" s="305">
        <v>4660290</v>
      </c>
      <c r="AO162" s="305">
        <v>4660290</v>
      </c>
      <c r="AP162" s="303" t="s">
        <v>244</v>
      </c>
      <c r="AQ162" s="303" t="s">
        <v>245</v>
      </c>
      <c r="AR162" s="360" t="s">
        <v>246</v>
      </c>
      <c r="AS162" s="306" t="s">
        <v>247</v>
      </c>
      <c r="AT162" s="307" t="s">
        <v>372</v>
      </c>
      <c r="AU162" s="308" t="s">
        <v>248</v>
      </c>
      <c r="AV162" s="361" t="s">
        <v>249</v>
      </c>
      <c r="AW162" s="303" t="s">
        <v>244</v>
      </c>
      <c r="AX162" s="303" t="s">
        <v>244</v>
      </c>
      <c r="AY162" s="394" t="s">
        <v>250</v>
      </c>
      <c r="AZ162" s="394" t="s">
        <v>251</v>
      </c>
      <c r="BA162" s="394" t="s">
        <v>252</v>
      </c>
      <c r="BB162" s="394" t="s">
        <v>250</v>
      </c>
      <c r="BC162" s="394"/>
      <c r="BD162" s="394"/>
    </row>
    <row r="163" spans="1:56" customFormat="1" ht="48" x14ac:dyDescent="0.25">
      <c r="A163" s="257">
        <v>161</v>
      </c>
      <c r="B163" s="299" t="s">
        <v>90</v>
      </c>
      <c r="C163" s="299" t="s">
        <v>78</v>
      </c>
      <c r="D163" s="299" t="s">
        <v>375</v>
      </c>
      <c r="E163" s="299"/>
      <c r="F163" s="350" t="s">
        <v>383</v>
      </c>
      <c r="G163" s="350" t="s">
        <v>374</v>
      </c>
      <c r="H163" s="299" t="s">
        <v>69</v>
      </c>
      <c r="I163" s="299"/>
      <c r="J163" s="251">
        <v>1967592.5925925926</v>
      </c>
      <c r="K163" s="300">
        <v>5.0000000000000044E-2</v>
      </c>
      <c r="L163" s="311">
        <v>932058</v>
      </c>
      <c r="M163" s="299">
        <v>1</v>
      </c>
      <c r="N163" s="299" t="s">
        <v>686</v>
      </c>
      <c r="O163" s="250">
        <v>45339</v>
      </c>
      <c r="P163" s="316">
        <v>45472</v>
      </c>
      <c r="Q163" s="312">
        <v>4660290</v>
      </c>
      <c r="R163" s="317"/>
      <c r="S163" s="317"/>
      <c r="T163" s="312">
        <v>0</v>
      </c>
      <c r="U163" s="318">
        <v>5</v>
      </c>
      <c r="V163" s="352">
        <v>4660290</v>
      </c>
      <c r="W163" s="356">
        <v>1750000000</v>
      </c>
      <c r="X163" s="353">
        <v>-0.43899999999999995</v>
      </c>
      <c r="Y163" s="376"/>
      <c r="Z163" s="376" t="s">
        <v>376</v>
      </c>
      <c r="AA163" s="356">
        <v>981750000</v>
      </c>
      <c r="AB163" s="270" t="s">
        <v>243</v>
      </c>
      <c r="AC163" s="393" t="s">
        <v>373</v>
      </c>
      <c r="AD163" s="393" t="s">
        <v>361</v>
      </c>
      <c r="AE163" s="358" t="s">
        <v>244</v>
      </c>
      <c r="AF163" s="359" t="str">
        <f t="shared" si="78"/>
        <v>CLE-161</v>
      </c>
      <c r="AG163" s="270">
        <v>80111600</v>
      </c>
      <c r="AH163" s="310" t="s">
        <v>682</v>
      </c>
      <c r="AI163" s="301">
        <v>45327</v>
      </c>
      <c r="AJ163" s="301">
        <v>45327</v>
      </c>
      <c r="AK163" s="302">
        <v>5</v>
      </c>
      <c r="AL163" s="303" t="s">
        <v>241</v>
      </c>
      <c r="AM163" s="304" t="s">
        <v>242</v>
      </c>
      <c r="AN163" s="305">
        <v>4660290</v>
      </c>
      <c r="AO163" s="305">
        <v>4660290</v>
      </c>
      <c r="AP163" s="303" t="s">
        <v>244</v>
      </c>
      <c r="AQ163" s="303" t="s">
        <v>245</v>
      </c>
      <c r="AR163" s="360" t="s">
        <v>246</v>
      </c>
      <c r="AS163" s="306" t="s">
        <v>247</v>
      </c>
      <c r="AT163" s="307" t="s">
        <v>372</v>
      </c>
      <c r="AU163" s="308" t="s">
        <v>248</v>
      </c>
      <c r="AV163" s="361" t="s">
        <v>249</v>
      </c>
      <c r="AW163" s="303" t="s">
        <v>244</v>
      </c>
      <c r="AX163" s="303" t="s">
        <v>244</v>
      </c>
      <c r="AY163" s="394" t="s">
        <v>250</v>
      </c>
      <c r="AZ163" s="394" t="s">
        <v>251</v>
      </c>
      <c r="BA163" s="394" t="s">
        <v>252</v>
      </c>
      <c r="BB163" s="394" t="s">
        <v>250</v>
      </c>
      <c r="BC163" s="394"/>
      <c r="BD163" s="394"/>
    </row>
    <row r="164" spans="1:56" customFormat="1" ht="48" x14ac:dyDescent="0.25">
      <c r="A164" s="257">
        <v>162</v>
      </c>
      <c r="B164" s="299" t="s">
        <v>90</v>
      </c>
      <c r="C164" s="299" t="s">
        <v>78</v>
      </c>
      <c r="D164" s="299" t="s">
        <v>375</v>
      </c>
      <c r="E164" s="299"/>
      <c r="F164" s="350" t="s">
        <v>383</v>
      </c>
      <c r="G164" s="350" t="s">
        <v>374</v>
      </c>
      <c r="H164" s="299" t="s">
        <v>69</v>
      </c>
      <c r="I164" s="299"/>
      <c r="J164" s="251">
        <v>1967592.5925925926</v>
      </c>
      <c r="K164" s="300">
        <v>5.0000000000000044E-2</v>
      </c>
      <c r="L164" s="311">
        <v>932058</v>
      </c>
      <c r="M164" s="299">
        <v>1</v>
      </c>
      <c r="N164" s="299" t="s">
        <v>686</v>
      </c>
      <c r="O164" s="250">
        <v>45339</v>
      </c>
      <c r="P164" s="316">
        <v>45472</v>
      </c>
      <c r="Q164" s="312">
        <v>4660290</v>
      </c>
      <c r="R164" s="317"/>
      <c r="S164" s="317"/>
      <c r="T164" s="312">
        <v>0</v>
      </c>
      <c r="U164" s="318">
        <v>5</v>
      </c>
      <c r="V164" s="352">
        <v>4660290</v>
      </c>
      <c r="W164" s="356">
        <v>1750000000</v>
      </c>
      <c r="X164" s="353">
        <v>-0.43899999999999995</v>
      </c>
      <c r="Y164" s="376"/>
      <c r="Z164" s="376" t="s">
        <v>376</v>
      </c>
      <c r="AA164" s="356">
        <v>981750000</v>
      </c>
      <c r="AB164" s="270" t="s">
        <v>243</v>
      </c>
      <c r="AC164" s="393" t="s">
        <v>373</v>
      </c>
      <c r="AD164" s="393" t="s">
        <v>361</v>
      </c>
      <c r="AE164" s="358" t="s">
        <v>244</v>
      </c>
      <c r="AF164" s="359" t="str">
        <f t="shared" si="78"/>
        <v>CLE-162</v>
      </c>
      <c r="AG164" s="270">
        <v>80111600</v>
      </c>
      <c r="AH164" s="310" t="s">
        <v>682</v>
      </c>
      <c r="AI164" s="301">
        <v>45327</v>
      </c>
      <c r="AJ164" s="301">
        <v>45327</v>
      </c>
      <c r="AK164" s="302">
        <v>5</v>
      </c>
      <c r="AL164" s="303" t="s">
        <v>241</v>
      </c>
      <c r="AM164" s="304" t="s">
        <v>242</v>
      </c>
      <c r="AN164" s="305">
        <v>4660290</v>
      </c>
      <c r="AO164" s="305">
        <v>4660290</v>
      </c>
      <c r="AP164" s="303" t="s">
        <v>244</v>
      </c>
      <c r="AQ164" s="303" t="s">
        <v>245</v>
      </c>
      <c r="AR164" s="360" t="s">
        <v>246</v>
      </c>
      <c r="AS164" s="306" t="s">
        <v>247</v>
      </c>
      <c r="AT164" s="307" t="s">
        <v>372</v>
      </c>
      <c r="AU164" s="308" t="s">
        <v>248</v>
      </c>
      <c r="AV164" s="361" t="s">
        <v>249</v>
      </c>
      <c r="AW164" s="303" t="s">
        <v>244</v>
      </c>
      <c r="AX164" s="303" t="s">
        <v>244</v>
      </c>
      <c r="AY164" s="394" t="s">
        <v>250</v>
      </c>
      <c r="AZ164" s="394" t="s">
        <v>251</v>
      </c>
      <c r="BA164" s="394" t="s">
        <v>252</v>
      </c>
      <c r="BB164" s="394" t="s">
        <v>250</v>
      </c>
      <c r="BC164" s="394"/>
      <c r="BD164" s="394"/>
    </row>
    <row r="165" spans="1:56" customFormat="1" ht="36.75" customHeight="1" x14ac:dyDescent="0.25">
      <c r="A165" s="257">
        <v>163</v>
      </c>
      <c r="B165" s="299" t="s">
        <v>90</v>
      </c>
      <c r="C165" s="299" t="s">
        <v>78</v>
      </c>
      <c r="D165" s="299" t="s">
        <v>375</v>
      </c>
      <c r="E165" s="299"/>
      <c r="F165" s="350" t="s">
        <v>383</v>
      </c>
      <c r="G165" s="350" t="s">
        <v>374</v>
      </c>
      <c r="H165" s="299" t="s">
        <v>69</v>
      </c>
      <c r="I165" s="299"/>
      <c r="J165" s="251">
        <v>1967592.5925925926</v>
      </c>
      <c r="K165" s="300">
        <v>5.0000000000000044E-2</v>
      </c>
      <c r="L165" s="311">
        <v>932058</v>
      </c>
      <c r="M165" s="299">
        <v>1</v>
      </c>
      <c r="N165" s="299" t="s">
        <v>686</v>
      </c>
      <c r="O165" s="250">
        <v>45339</v>
      </c>
      <c r="P165" s="316">
        <v>45472</v>
      </c>
      <c r="Q165" s="312">
        <v>4660290</v>
      </c>
      <c r="R165" s="317"/>
      <c r="S165" s="317"/>
      <c r="T165" s="312">
        <v>0</v>
      </c>
      <c r="U165" s="318">
        <v>5</v>
      </c>
      <c r="V165" s="352">
        <v>4660290</v>
      </c>
      <c r="W165" s="356">
        <v>1750000000</v>
      </c>
      <c r="X165" s="353">
        <v>-0.43899999999999995</v>
      </c>
      <c r="Y165" s="376"/>
      <c r="Z165" s="376" t="s">
        <v>376</v>
      </c>
      <c r="AA165" s="356">
        <v>981750000</v>
      </c>
      <c r="AB165" s="270" t="s">
        <v>243</v>
      </c>
      <c r="AC165" s="393" t="s">
        <v>373</v>
      </c>
      <c r="AD165" s="393" t="s">
        <v>361</v>
      </c>
      <c r="AE165" s="358" t="s">
        <v>244</v>
      </c>
      <c r="AF165" s="359" t="str">
        <f t="shared" si="78"/>
        <v>CLE-163</v>
      </c>
      <c r="AG165" s="270">
        <v>80111600</v>
      </c>
      <c r="AH165" s="310" t="s">
        <v>682</v>
      </c>
      <c r="AI165" s="301">
        <v>45327</v>
      </c>
      <c r="AJ165" s="301">
        <v>45327</v>
      </c>
      <c r="AK165" s="302">
        <v>5</v>
      </c>
      <c r="AL165" s="303" t="s">
        <v>241</v>
      </c>
      <c r="AM165" s="304" t="s">
        <v>242</v>
      </c>
      <c r="AN165" s="305">
        <v>4660290</v>
      </c>
      <c r="AO165" s="305">
        <v>4660290</v>
      </c>
      <c r="AP165" s="303" t="s">
        <v>244</v>
      </c>
      <c r="AQ165" s="303" t="s">
        <v>245</v>
      </c>
      <c r="AR165" s="360" t="s">
        <v>246</v>
      </c>
      <c r="AS165" s="306" t="s">
        <v>247</v>
      </c>
      <c r="AT165" s="307" t="s">
        <v>372</v>
      </c>
      <c r="AU165" s="308" t="s">
        <v>248</v>
      </c>
      <c r="AV165" s="361" t="s">
        <v>249</v>
      </c>
      <c r="AW165" s="303" t="s">
        <v>244</v>
      </c>
      <c r="AX165" s="303" t="s">
        <v>244</v>
      </c>
      <c r="AY165" s="394" t="s">
        <v>250</v>
      </c>
      <c r="AZ165" s="394" t="s">
        <v>251</v>
      </c>
      <c r="BA165" s="394" t="s">
        <v>252</v>
      </c>
      <c r="BB165" s="394" t="s">
        <v>250</v>
      </c>
      <c r="BC165" s="394"/>
      <c r="BD165" s="394"/>
    </row>
    <row r="166" spans="1:56" customFormat="1" ht="34.5" customHeight="1" x14ac:dyDescent="0.25">
      <c r="A166" s="257">
        <v>164</v>
      </c>
      <c r="B166" s="299" t="s">
        <v>90</v>
      </c>
      <c r="C166" s="299" t="s">
        <v>78</v>
      </c>
      <c r="D166" s="299" t="s">
        <v>375</v>
      </c>
      <c r="E166" s="299"/>
      <c r="F166" s="350" t="s">
        <v>383</v>
      </c>
      <c r="G166" s="350" t="s">
        <v>374</v>
      </c>
      <c r="H166" s="299" t="s">
        <v>69</v>
      </c>
      <c r="I166" s="299"/>
      <c r="J166" s="251">
        <v>1967592.5925925926</v>
      </c>
      <c r="K166" s="300">
        <v>5.0000000000000044E-2</v>
      </c>
      <c r="L166" s="311">
        <v>932058</v>
      </c>
      <c r="M166" s="299">
        <v>1</v>
      </c>
      <c r="N166" s="299" t="s">
        <v>686</v>
      </c>
      <c r="O166" s="250">
        <v>45339</v>
      </c>
      <c r="P166" s="316">
        <v>45472</v>
      </c>
      <c r="Q166" s="312">
        <v>4660290</v>
      </c>
      <c r="R166" s="317"/>
      <c r="S166" s="317"/>
      <c r="T166" s="312">
        <v>0</v>
      </c>
      <c r="U166" s="318">
        <v>5</v>
      </c>
      <c r="V166" s="352">
        <v>4660290</v>
      </c>
      <c r="W166" s="356">
        <v>1750000000</v>
      </c>
      <c r="X166" s="353">
        <v>-0.43899999999999995</v>
      </c>
      <c r="Y166" s="376"/>
      <c r="Z166" s="376" t="s">
        <v>376</v>
      </c>
      <c r="AA166" s="356">
        <v>981750000</v>
      </c>
      <c r="AB166" s="270" t="s">
        <v>243</v>
      </c>
      <c r="AC166" s="393" t="s">
        <v>373</v>
      </c>
      <c r="AD166" s="393" t="s">
        <v>361</v>
      </c>
      <c r="AE166" s="358" t="s">
        <v>244</v>
      </c>
      <c r="AF166" s="359" t="str">
        <f t="shared" si="78"/>
        <v>CLE-164</v>
      </c>
      <c r="AG166" s="270">
        <v>80111600</v>
      </c>
      <c r="AH166" s="310" t="s">
        <v>682</v>
      </c>
      <c r="AI166" s="301">
        <v>45327</v>
      </c>
      <c r="AJ166" s="301">
        <v>45327</v>
      </c>
      <c r="AK166" s="302">
        <v>5</v>
      </c>
      <c r="AL166" s="303" t="s">
        <v>241</v>
      </c>
      <c r="AM166" s="304" t="s">
        <v>242</v>
      </c>
      <c r="AN166" s="305">
        <v>4660290</v>
      </c>
      <c r="AO166" s="305">
        <v>4660290</v>
      </c>
      <c r="AP166" s="303" t="s">
        <v>244</v>
      </c>
      <c r="AQ166" s="303" t="s">
        <v>245</v>
      </c>
      <c r="AR166" s="360" t="s">
        <v>246</v>
      </c>
      <c r="AS166" s="306" t="s">
        <v>247</v>
      </c>
      <c r="AT166" s="307" t="s">
        <v>372</v>
      </c>
      <c r="AU166" s="308" t="s">
        <v>248</v>
      </c>
      <c r="AV166" s="361" t="s">
        <v>249</v>
      </c>
      <c r="AW166" s="303" t="s">
        <v>244</v>
      </c>
      <c r="AX166" s="303" t="s">
        <v>244</v>
      </c>
      <c r="AY166" s="394" t="s">
        <v>250</v>
      </c>
      <c r="AZ166" s="394" t="s">
        <v>251</v>
      </c>
      <c r="BA166" s="394" t="s">
        <v>252</v>
      </c>
      <c r="BB166" s="394" t="s">
        <v>250</v>
      </c>
      <c r="BC166" s="394"/>
      <c r="BD166" s="394"/>
    </row>
    <row r="167" spans="1:56" customFormat="1" ht="34.5" customHeight="1" x14ac:dyDescent="0.25">
      <c r="A167" s="257">
        <v>165</v>
      </c>
      <c r="B167" s="299" t="s">
        <v>90</v>
      </c>
      <c r="C167" s="299" t="s">
        <v>78</v>
      </c>
      <c r="D167" s="299" t="s">
        <v>375</v>
      </c>
      <c r="E167" s="299"/>
      <c r="F167" s="350" t="s">
        <v>383</v>
      </c>
      <c r="G167" s="350" t="s">
        <v>374</v>
      </c>
      <c r="H167" s="299" t="s">
        <v>69</v>
      </c>
      <c r="I167" s="299"/>
      <c r="J167" s="251">
        <v>1967592.5925925926</v>
      </c>
      <c r="K167" s="300">
        <v>5.0000000000000044E-2</v>
      </c>
      <c r="L167" s="311">
        <v>932058</v>
      </c>
      <c r="M167" s="299">
        <v>1</v>
      </c>
      <c r="N167" s="299" t="s">
        <v>686</v>
      </c>
      <c r="O167" s="250">
        <v>45339</v>
      </c>
      <c r="P167" s="316">
        <v>45472</v>
      </c>
      <c r="Q167" s="312">
        <v>4660290</v>
      </c>
      <c r="R167" s="317"/>
      <c r="S167" s="317"/>
      <c r="T167" s="312">
        <v>0</v>
      </c>
      <c r="U167" s="318">
        <v>5</v>
      </c>
      <c r="V167" s="352">
        <v>4660290</v>
      </c>
      <c r="W167" s="356">
        <v>1750000000</v>
      </c>
      <c r="X167" s="353">
        <v>-0.43899999999999995</v>
      </c>
      <c r="Y167" s="376"/>
      <c r="Z167" s="376" t="s">
        <v>376</v>
      </c>
      <c r="AA167" s="356">
        <v>981750000</v>
      </c>
      <c r="AB167" s="270" t="s">
        <v>243</v>
      </c>
      <c r="AC167" s="393" t="s">
        <v>373</v>
      </c>
      <c r="AD167" s="393" t="s">
        <v>361</v>
      </c>
      <c r="AE167" s="358" t="s">
        <v>244</v>
      </c>
      <c r="AF167" s="359" t="str">
        <f t="shared" si="78"/>
        <v>CLE-165</v>
      </c>
      <c r="AG167" s="270">
        <v>80111600</v>
      </c>
      <c r="AH167" s="310" t="s">
        <v>682</v>
      </c>
      <c r="AI167" s="301">
        <v>45327</v>
      </c>
      <c r="AJ167" s="301">
        <v>45327</v>
      </c>
      <c r="AK167" s="302">
        <v>5</v>
      </c>
      <c r="AL167" s="303" t="s">
        <v>241</v>
      </c>
      <c r="AM167" s="304" t="s">
        <v>242</v>
      </c>
      <c r="AN167" s="305">
        <v>4660290</v>
      </c>
      <c r="AO167" s="305">
        <v>4660290</v>
      </c>
      <c r="AP167" s="303" t="s">
        <v>244</v>
      </c>
      <c r="AQ167" s="303" t="s">
        <v>245</v>
      </c>
      <c r="AR167" s="360" t="s">
        <v>246</v>
      </c>
      <c r="AS167" s="306" t="s">
        <v>247</v>
      </c>
      <c r="AT167" s="307" t="s">
        <v>372</v>
      </c>
      <c r="AU167" s="308" t="s">
        <v>248</v>
      </c>
      <c r="AV167" s="361" t="s">
        <v>249</v>
      </c>
      <c r="AW167" s="303" t="s">
        <v>244</v>
      </c>
      <c r="AX167" s="303" t="s">
        <v>244</v>
      </c>
      <c r="AY167" s="394" t="s">
        <v>250</v>
      </c>
      <c r="AZ167" s="394" t="s">
        <v>251</v>
      </c>
      <c r="BA167" s="394" t="s">
        <v>252</v>
      </c>
      <c r="BB167" s="394" t="s">
        <v>250</v>
      </c>
      <c r="BC167" s="394"/>
      <c r="BD167" s="394"/>
    </row>
    <row r="168" spans="1:56" customFormat="1" ht="41.25" customHeight="1" x14ac:dyDescent="0.25">
      <c r="A168" s="257">
        <v>166</v>
      </c>
      <c r="B168" s="299" t="s">
        <v>90</v>
      </c>
      <c r="C168" s="299" t="s">
        <v>78</v>
      </c>
      <c r="D168" s="299" t="s">
        <v>375</v>
      </c>
      <c r="E168" s="299"/>
      <c r="F168" s="350" t="s">
        <v>383</v>
      </c>
      <c r="G168" s="350" t="s">
        <v>374</v>
      </c>
      <c r="H168" s="299" t="s">
        <v>69</v>
      </c>
      <c r="I168" s="299"/>
      <c r="J168" s="251">
        <v>1967592.5925925926</v>
      </c>
      <c r="K168" s="300">
        <v>5.0000000000000044E-2</v>
      </c>
      <c r="L168" s="311">
        <v>932058</v>
      </c>
      <c r="M168" s="299">
        <v>1</v>
      </c>
      <c r="N168" s="299" t="s">
        <v>686</v>
      </c>
      <c r="O168" s="250">
        <v>45339</v>
      </c>
      <c r="P168" s="316">
        <v>45472</v>
      </c>
      <c r="Q168" s="312">
        <v>4660290</v>
      </c>
      <c r="R168" s="317"/>
      <c r="S168" s="317"/>
      <c r="T168" s="312">
        <v>0</v>
      </c>
      <c r="U168" s="318">
        <v>5</v>
      </c>
      <c r="V168" s="352">
        <v>4660290</v>
      </c>
      <c r="W168" s="356">
        <v>1750000000</v>
      </c>
      <c r="X168" s="353">
        <v>-0.43899999999999995</v>
      </c>
      <c r="Y168" s="376"/>
      <c r="Z168" s="376" t="s">
        <v>376</v>
      </c>
      <c r="AA168" s="356">
        <v>981750000</v>
      </c>
      <c r="AB168" s="270" t="s">
        <v>243</v>
      </c>
      <c r="AC168" s="393" t="s">
        <v>373</v>
      </c>
      <c r="AD168" s="393" t="s">
        <v>361</v>
      </c>
      <c r="AE168" s="358" t="s">
        <v>244</v>
      </c>
      <c r="AF168" s="359" t="str">
        <f t="shared" si="78"/>
        <v>CLE-166</v>
      </c>
      <c r="AG168" s="270">
        <v>80111600</v>
      </c>
      <c r="AH168" s="310" t="s">
        <v>682</v>
      </c>
      <c r="AI168" s="301">
        <v>45327</v>
      </c>
      <c r="AJ168" s="301">
        <v>45327</v>
      </c>
      <c r="AK168" s="302">
        <v>5</v>
      </c>
      <c r="AL168" s="303" t="s">
        <v>241</v>
      </c>
      <c r="AM168" s="304" t="s">
        <v>242</v>
      </c>
      <c r="AN168" s="305">
        <v>4660290</v>
      </c>
      <c r="AO168" s="305">
        <v>4660290</v>
      </c>
      <c r="AP168" s="303" t="s">
        <v>244</v>
      </c>
      <c r="AQ168" s="303" t="s">
        <v>245</v>
      </c>
      <c r="AR168" s="360" t="s">
        <v>246</v>
      </c>
      <c r="AS168" s="306" t="s">
        <v>247</v>
      </c>
      <c r="AT168" s="307" t="s">
        <v>372</v>
      </c>
      <c r="AU168" s="308" t="s">
        <v>248</v>
      </c>
      <c r="AV168" s="361" t="s">
        <v>249</v>
      </c>
      <c r="AW168" s="303" t="s">
        <v>244</v>
      </c>
      <c r="AX168" s="303" t="s">
        <v>244</v>
      </c>
      <c r="AY168" s="394" t="s">
        <v>250</v>
      </c>
      <c r="AZ168" s="394" t="s">
        <v>251</v>
      </c>
      <c r="BA168" s="394" t="s">
        <v>252</v>
      </c>
      <c r="BB168" s="394" t="s">
        <v>250</v>
      </c>
      <c r="BC168" s="394"/>
      <c r="BD168" s="394"/>
    </row>
    <row r="169" spans="1:56" customFormat="1" ht="48" x14ac:dyDescent="0.25">
      <c r="A169" s="257">
        <v>167</v>
      </c>
      <c r="B169" s="299" t="s">
        <v>90</v>
      </c>
      <c r="C169" s="299" t="s">
        <v>78</v>
      </c>
      <c r="D169" s="299" t="s">
        <v>375</v>
      </c>
      <c r="E169" s="299"/>
      <c r="F169" s="350" t="s">
        <v>383</v>
      </c>
      <c r="G169" s="350" t="s">
        <v>374</v>
      </c>
      <c r="H169" s="299" t="s">
        <v>69</v>
      </c>
      <c r="I169" s="299"/>
      <c r="J169" s="251">
        <v>1967592.5925925926</v>
      </c>
      <c r="K169" s="300">
        <v>5.0000000000000044E-2</v>
      </c>
      <c r="L169" s="311">
        <v>932058</v>
      </c>
      <c r="M169" s="299">
        <v>1</v>
      </c>
      <c r="N169" s="299" t="s">
        <v>686</v>
      </c>
      <c r="O169" s="250">
        <v>45339</v>
      </c>
      <c r="P169" s="316">
        <v>45472</v>
      </c>
      <c r="Q169" s="312">
        <v>4660290</v>
      </c>
      <c r="R169" s="317"/>
      <c r="S169" s="317"/>
      <c r="T169" s="312">
        <v>0</v>
      </c>
      <c r="U169" s="318">
        <v>5</v>
      </c>
      <c r="V169" s="352">
        <v>4660290</v>
      </c>
      <c r="W169" s="356">
        <v>1750000000</v>
      </c>
      <c r="X169" s="353">
        <v>-0.43899999999999995</v>
      </c>
      <c r="Y169" s="376"/>
      <c r="Z169" s="376" t="s">
        <v>376</v>
      </c>
      <c r="AA169" s="356">
        <v>981750000</v>
      </c>
      <c r="AB169" s="270" t="s">
        <v>243</v>
      </c>
      <c r="AC169" s="393" t="s">
        <v>373</v>
      </c>
      <c r="AD169" s="393" t="s">
        <v>361</v>
      </c>
      <c r="AE169" s="358" t="s">
        <v>244</v>
      </c>
      <c r="AF169" s="359" t="str">
        <f t="shared" si="78"/>
        <v>CLE-167</v>
      </c>
      <c r="AG169" s="270">
        <v>80111600</v>
      </c>
      <c r="AH169" s="310" t="s">
        <v>682</v>
      </c>
      <c r="AI169" s="301">
        <v>45327</v>
      </c>
      <c r="AJ169" s="301">
        <v>45327</v>
      </c>
      <c r="AK169" s="302">
        <v>5</v>
      </c>
      <c r="AL169" s="303" t="s">
        <v>241</v>
      </c>
      <c r="AM169" s="304" t="s">
        <v>242</v>
      </c>
      <c r="AN169" s="305">
        <v>4660290</v>
      </c>
      <c r="AO169" s="305">
        <v>4660290</v>
      </c>
      <c r="AP169" s="303" t="s">
        <v>244</v>
      </c>
      <c r="AQ169" s="303" t="s">
        <v>245</v>
      </c>
      <c r="AR169" s="360" t="s">
        <v>246</v>
      </c>
      <c r="AS169" s="306" t="s">
        <v>247</v>
      </c>
      <c r="AT169" s="307" t="s">
        <v>372</v>
      </c>
      <c r="AU169" s="308" t="s">
        <v>248</v>
      </c>
      <c r="AV169" s="361" t="s">
        <v>249</v>
      </c>
      <c r="AW169" s="303" t="s">
        <v>244</v>
      </c>
      <c r="AX169" s="303" t="s">
        <v>244</v>
      </c>
      <c r="AY169" s="394" t="s">
        <v>250</v>
      </c>
      <c r="AZ169" s="394" t="s">
        <v>251</v>
      </c>
      <c r="BA169" s="394" t="s">
        <v>252</v>
      </c>
      <c r="BB169" s="394" t="s">
        <v>250</v>
      </c>
      <c r="BC169" s="394"/>
      <c r="BD169" s="394"/>
    </row>
    <row r="170" spans="1:56" customFormat="1" ht="48" x14ac:dyDescent="0.25">
      <c r="A170" s="257">
        <v>168</v>
      </c>
      <c r="B170" s="299" t="s">
        <v>90</v>
      </c>
      <c r="C170" s="299" t="s">
        <v>78</v>
      </c>
      <c r="D170" s="299" t="s">
        <v>375</v>
      </c>
      <c r="E170" s="299"/>
      <c r="F170" s="350" t="s">
        <v>383</v>
      </c>
      <c r="G170" s="350" t="s">
        <v>374</v>
      </c>
      <c r="H170" s="299" t="s">
        <v>67</v>
      </c>
      <c r="I170" s="299"/>
      <c r="J170" s="251">
        <v>1967592.5925925926</v>
      </c>
      <c r="K170" s="300">
        <v>5.0000000000000044E-2</v>
      </c>
      <c r="L170" s="311">
        <v>1090695</v>
      </c>
      <c r="M170" s="299">
        <v>1</v>
      </c>
      <c r="N170" s="299" t="s">
        <v>686</v>
      </c>
      <c r="O170" s="250">
        <v>45339</v>
      </c>
      <c r="P170" s="316">
        <v>45472</v>
      </c>
      <c r="Q170" s="312">
        <v>5453475</v>
      </c>
      <c r="R170" s="317"/>
      <c r="S170" s="317"/>
      <c r="T170" s="312">
        <v>0</v>
      </c>
      <c r="U170" s="318">
        <v>5</v>
      </c>
      <c r="V170" s="352">
        <v>5453475</v>
      </c>
      <c r="W170" s="356">
        <v>1750000000</v>
      </c>
      <c r="X170" s="353">
        <v>-0.43899999999999995</v>
      </c>
      <c r="Y170" s="376"/>
      <c r="Z170" s="376" t="s">
        <v>376</v>
      </c>
      <c r="AA170" s="356">
        <v>981750000</v>
      </c>
      <c r="AB170" s="270" t="s">
        <v>243</v>
      </c>
      <c r="AC170" s="393" t="s">
        <v>373</v>
      </c>
      <c r="AD170" s="393" t="s">
        <v>361</v>
      </c>
      <c r="AE170" s="358" t="s">
        <v>244</v>
      </c>
      <c r="AF170" s="359" t="str">
        <f t="shared" si="78"/>
        <v>CLE-168</v>
      </c>
      <c r="AG170" s="270">
        <v>80111600</v>
      </c>
      <c r="AH170" s="310" t="s">
        <v>682</v>
      </c>
      <c r="AI170" s="301">
        <v>45327</v>
      </c>
      <c r="AJ170" s="301">
        <v>45327</v>
      </c>
      <c r="AK170" s="302">
        <v>5</v>
      </c>
      <c r="AL170" s="303" t="s">
        <v>241</v>
      </c>
      <c r="AM170" s="304" t="s">
        <v>242</v>
      </c>
      <c r="AN170" s="305">
        <v>5453475</v>
      </c>
      <c r="AO170" s="305">
        <v>5453475</v>
      </c>
      <c r="AP170" s="303" t="s">
        <v>244</v>
      </c>
      <c r="AQ170" s="303" t="s">
        <v>245</v>
      </c>
      <c r="AR170" s="360" t="s">
        <v>246</v>
      </c>
      <c r="AS170" s="306" t="s">
        <v>247</v>
      </c>
      <c r="AT170" s="307" t="s">
        <v>372</v>
      </c>
      <c r="AU170" s="308" t="s">
        <v>248</v>
      </c>
      <c r="AV170" s="361" t="s">
        <v>249</v>
      </c>
      <c r="AW170" s="303" t="s">
        <v>244</v>
      </c>
      <c r="AX170" s="303" t="s">
        <v>244</v>
      </c>
      <c r="AY170" s="394" t="s">
        <v>250</v>
      </c>
      <c r="AZ170" s="394" t="s">
        <v>251</v>
      </c>
      <c r="BA170" s="394" t="s">
        <v>252</v>
      </c>
      <c r="BB170" s="394" t="s">
        <v>250</v>
      </c>
      <c r="BC170" s="394"/>
      <c r="BD170" s="394"/>
    </row>
    <row r="171" spans="1:56" customFormat="1" ht="36.75" customHeight="1" x14ac:dyDescent="0.25">
      <c r="A171" s="257">
        <v>169</v>
      </c>
      <c r="B171" s="299" t="s">
        <v>90</v>
      </c>
      <c r="C171" s="299" t="s">
        <v>78</v>
      </c>
      <c r="D171" s="299" t="s">
        <v>375</v>
      </c>
      <c r="E171" s="299"/>
      <c r="F171" s="350" t="s">
        <v>383</v>
      </c>
      <c r="G171" s="350" t="s">
        <v>374</v>
      </c>
      <c r="H171" s="299" t="s">
        <v>67</v>
      </c>
      <c r="I171" s="299"/>
      <c r="J171" s="251">
        <v>1967592.5925925926</v>
      </c>
      <c r="K171" s="300">
        <v>5.0000000000000044E-2</v>
      </c>
      <c r="L171" s="311">
        <v>1090695</v>
      </c>
      <c r="M171" s="299">
        <v>1</v>
      </c>
      <c r="N171" s="299" t="s">
        <v>686</v>
      </c>
      <c r="O171" s="250">
        <v>45339</v>
      </c>
      <c r="P171" s="316">
        <v>45472</v>
      </c>
      <c r="Q171" s="312">
        <v>5453475</v>
      </c>
      <c r="R171" s="317"/>
      <c r="S171" s="317"/>
      <c r="T171" s="312">
        <v>0</v>
      </c>
      <c r="U171" s="318">
        <v>5</v>
      </c>
      <c r="V171" s="352">
        <v>5453475</v>
      </c>
      <c r="W171" s="356">
        <v>1750000000</v>
      </c>
      <c r="X171" s="353">
        <v>-0.43899999999999995</v>
      </c>
      <c r="Y171" s="376"/>
      <c r="Z171" s="376" t="s">
        <v>376</v>
      </c>
      <c r="AA171" s="356">
        <v>981750000</v>
      </c>
      <c r="AB171" s="270" t="s">
        <v>243</v>
      </c>
      <c r="AC171" s="393" t="s">
        <v>373</v>
      </c>
      <c r="AD171" s="393" t="s">
        <v>361</v>
      </c>
      <c r="AE171" s="358" t="s">
        <v>244</v>
      </c>
      <c r="AF171" s="359" t="str">
        <f t="shared" si="78"/>
        <v>CLE-169</v>
      </c>
      <c r="AG171" s="270">
        <v>80111600</v>
      </c>
      <c r="AH171" s="310" t="s">
        <v>682</v>
      </c>
      <c r="AI171" s="301">
        <v>45327</v>
      </c>
      <c r="AJ171" s="301">
        <v>45327</v>
      </c>
      <c r="AK171" s="302">
        <v>5</v>
      </c>
      <c r="AL171" s="303" t="s">
        <v>241</v>
      </c>
      <c r="AM171" s="304" t="s">
        <v>242</v>
      </c>
      <c r="AN171" s="305">
        <v>5453475</v>
      </c>
      <c r="AO171" s="305">
        <v>5453475</v>
      </c>
      <c r="AP171" s="303" t="s">
        <v>244</v>
      </c>
      <c r="AQ171" s="303" t="s">
        <v>245</v>
      </c>
      <c r="AR171" s="360" t="s">
        <v>246</v>
      </c>
      <c r="AS171" s="306" t="s">
        <v>247</v>
      </c>
      <c r="AT171" s="307" t="s">
        <v>372</v>
      </c>
      <c r="AU171" s="308" t="s">
        <v>248</v>
      </c>
      <c r="AV171" s="361" t="s">
        <v>249</v>
      </c>
      <c r="AW171" s="303" t="s">
        <v>244</v>
      </c>
      <c r="AX171" s="303" t="s">
        <v>244</v>
      </c>
      <c r="AY171" s="394" t="s">
        <v>250</v>
      </c>
      <c r="AZ171" s="394" t="s">
        <v>251</v>
      </c>
      <c r="BA171" s="394" t="s">
        <v>252</v>
      </c>
      <c r="BB171" s="394" t="s">
        <v>250</v>
      </c>
      <c r="BC171" s="394"/>
      <c r="BD171" s="394"/>
    </row>
    <row r="172" spans="1:56" customFormat="1" ht="42" customHeight="1" x14ac:dyDescent="0.25">
      <c r="A172" s="257">
        <v>170</v>
      </c>
      <c r="B172" s="299" t="s">
        <v>90</v>
      </c>
      <c r="C172" s="299" t="s">
        <v>78</v>
      </c>
      <c r="D172" s="299" t="s">
        <v>375</v>
      </c>
      <c r="E172" s="299"/>
      <c r="F172" s="350" t="s">
        <v>383</v>
      </c>
      <c r="G172" s="350" t="s">
        <v>374</v>
      </c>
      <c r="H172" s="299" t="s">
        <v>67</v>
      </c>
      <c r="I172" s="299"/>
      <c r="J172" s="251">
        <v>1967592.5925925926</v>
      </c>
      <c r="K172" s="300">
        <v>5.0000000000000044E-2</v>
      </c>
      <c r="L172" s="311">
        <v>1090695</v>
      </c>
      <c r="M172" s="299">
        <v>1</v>
      </c>
      <c r="N172" s="299" t="s">
        <v>686</v>
      </c>
      <c r="O172" s="250">
        <v>45339</v>
      </c>
      <c r="P172" s="316">
        <v>45472</v>
      </c>
      <c r="Q172" s="312">
        <v>5453475</v>
      </c>
      <c r="R172" s="317"/>
      <c r="S172" s="317"/>
      <c r="T172" s="312">
        <v>0</v>
      </c>
      <c r="U172" s="318">
        <v>5</v>
      </c>
      <c r="V172" s="352">
        <v>5453475</v>
      </c>
      <c r="W172" s="356">
        <v>1750000000</v>
      </c>
      <c r="X172" s="353">
        <v>-0.43899999999999995</v>
      </c>
      <c r="Y172" s="376"/>
      <c r="Z172" s="376" t="s">
        <v>376</v>
      </c>
      <c r="AA172" s="356">
        <v>981750000</v>
      </c>
      <c r="AB172" s="270" t="s">
        <v>243</v>
      </c>
      <c r="AC172" s="393" t="s">
        <v>373</v>
      </c>
      <c r="AD172" s="393" t="s">
        <v>361</v>
      </c>
      <c r="AE172" s="358" t="s">
        <v>244</v>
      </c>
      <c r="AF172" s="359" t="str">
        <f t="shared" si="78"/>
        <v>CLE-170</v>
      </c>
      <c r="AG172" s="270">
        <v>80111600</v>
      </c>
      <c r="AH172" s="310" t="s">
        <v>682</v>
      </c>
      <c r="AI172" s="301">
        <v>45327</v>
      </c>
      <c r="AJ172" s="301">
        <v>45327</v>
      </c>
      <c r="AK172" s="302">
        <v>5</v>
      </c>
      <c r="AL172" s="303" t="s">
        <v>241</v>
      </c>
      <c r="AM172" s="304" t="s">
        <v>242</v>
      </c>
      <c r="AN172" s="305">
        <v>5453475</v>
      </c>
      <c r="AO172" s="305">
        <v>5453475</v>
      </c>
      <c r="AP172" s="303" t="s">
        <v>244</v>
      </c>
      <c r="AQ172" s="303" t="s">
        <v>245</v>
      </c>
      <c r="AR172" s="360" t="s">
        <v>246</v>
      </c>
      <c r="AS172" s="306" t="s">
        <v>247</v>
      </c>
      <c r="AT172" s="307" t="s">
        <v>372</v>
      </c>
      <c r="AU172" s="308" t="s">
        <v>248</v>
      </c>
      <c r="AV172" s="361" t="s">
        <v>249</v>
      </c>
      <c r="AW172" s="303" t="s">
        <v>244</v>
      </c>
      <c r="AX172" s="303" t="s">
        <v>244</v>
      </c>
      <c r="AY172" s="394" t="s">
        <v>250</v>
      </c>
      <c r="AZ172" s="394" t="s">
        <v>251</v>
      </c>
      <c r="BA172" s="394" t="s">
        <v>252</v>
      </c>
      <c r="BB172" s="394" t="s">
        <v>250</v>
      </c>
      <c r="BC172" s="394"/>
      <c r="BD172" s="394"/>
    </row>
    <row r="173" spans="1:56" customFormat="1" ht="42.75" customHeight="1" x14ac:dyDescent="0.25">
      <c r="A173" s="257">
        <v>171</v>
      </c>
      <c r="B173" s="299" t="s">
        <v>90</v>
      </c>
      <c r="C173" s="299" t="s">
        <v>78</v>
      </c>
      <c r="D173" s="299" t="s">
        <v>375</v>
      </c>
      <c r="E173" s="299"/>
      <c r="F173" s="350" t="s">
        <v>383</v>
      </c>
      <c r="G173" s="350" t="s">
        <v>374</v>
      </c>
      <c r="H173" s="299" t="s">
        <v>67</v>
      </c>
      <c r="I173" s="299"/>
      <c r="J173" s="251">
        <v>1967592.5925925926</v>
      </c>
      <c r="K173" s="300">
        <v>5.0000000000000044E-2</v>
      </c>
      <c r="L173" s="311">
        <v>1090695</v>
      </c>
      <c r="M173" s="299">
        <v>1</v>
      </c>
      <c r="N173" s="299" t="s">
        <v>686</v>
      </c>
      <c r="O173" s="250">
        <v>45339</v>
      </c>
      <c r="P173" s="316">
        <v>45472</v>
      </c>
      <c r="Q173" s="312">
        <v>5453475</v>
      </c>
      <c r="R173" s="317"/>
      <c r="S173" s="317"/>
      <c r="T173" s="312">
        <v>0</v>
      </c>
      <c r="U173" s="318">
        <v>5</v>
      </c>
      <c r="V173" s="352">
        <v>5453475</v>
      </c>
      <c r="W173" s="356">
        <v>1750000000</v>
      </c>
      <c r="X173" s="353">
        <v>-0.43899999999999995</v>
      </c>
      <c r="Y173" s="376"/>
      <c r="Z173" s="376" t="s">
        <v>376</v>
      </c>
      <c r="AA173" s="356">
        <v>981750000</v>
      </c>
      <c r="AB173" s="270" t="s">
        <v>243</v>
      </c>
      <c r="AC173" s="393" t="s">
        <v>373</v>
      </c>
      <c r="AD173" s="393" t="s">
        <v>361</v>
      </c>
      <c r="AE173" s="358" t="s">
        <v>244</v>
      </c>
      <c r="AF173" s="359" t="str">
        <f t="shared" si="78"/>
        <v>CLE-171</v>
      </c>
      <c r="AG173" s="270">
        <v>80111600</v>
      </c>
      <c r="AH173" s="310" t="s">
        <v>682</v>
      </c>
      <c r="AI173" s="301">
        <v>45327</v>
      </c>
      <c r="AJ173" s="301">
        <v>45327</v>
      </c>
      <c r="AK173" s="302">
        <v>5</v>
      </c>
      <c r="AL173" s="303" t="s">
        <v>241</v>
      </c>
      <c r="AM173" s="304" t="s">
        <v>242</v>
      </c>
      <c r="AN173" s="305">
        <v>5453475</v>
      </c>
      <c r="AO173" s="305">
        <v>5453475</v>
      </c>
      <c r="AP173" s="303" t="s">
        <v>244</v>
      </c>
      <c r="AQ173" s="303" t="s">
        <v>245</v>
      </c>
      <c r="AR173" s="360" t="s">
        <v>246</v>
      </c>
      <c r="AS173" s="306" t="s">
        <v>247</v>
      </c>
      <c r="AT173" s="307" t="s">
        <v>372</v>
      </c>
      <c r="AU173" s="308" t="s">
        <v>248</v>
      </c>
      <c r="AV173" s="361" t="s">
        <v>249</v>
      </c>
      <c r="AW173" s="303" t="s">
        <v>244</v>
      </c>
      <c r="AX173" s="303" t="s">
        <v>244</v>
      </c>
      <c r="AY173" s="394" t="s">
        <v>250</v>
      </c>
      <c r="AZ173" s="394" t="s">
        <v>251</v>
      </c>
      <c r="BA173" s="394" t="s">
        <v>252</v>
      </c>
      <c r="BB173" s="394" t="s">
        <v>250</v>
      </c>
      <c r="BC173" s="394"/>
      <c r="BD173" s="394"/>
    </row>
    <row r="174" spans="1:56" ht="46.5" customHeight="1" x14ac:dyDescent="0.2">
      <c r="A174" s="257">
        <v>172</v>
      </c>
      <c r="B174" s="299" t="s">
        <v>63</v>
      </c>
      <c r="C174" s="299" t="s">
        <v>13</v>
      </c>
      <c r="D174" s="299" t="s">
        <v>89</v>
      </c>
      <c r="E174" s="299" t="s">
        <v>44</v>
      </c>
      <c r="F174" s="350" t="s">
        <v>383</v>
      </c>
      <c r="G174" s="350" t="s">
        <v>374</v>
      </c>
      <c r="H174" s="299" t="s">
        <v>690</v>
      </c>
      <c r="I174" s="299" t="s">
        <v>28</v>
      </c>
      <c r="J174" s="299"/>
      <c r="K174" s="250"/>
      <c r="L174" s="311">
        <v>2216570</v>
      </c>
      <c r="M174" s="299">
        <v>1</v>
      </c>
      <c r="N174" s="299" t="s">
        <v>485</v>
      </c>
      <c r="O174" s="250">
        <v>45329</v>
      </c>
      <c r="P174" s="316">
        <v>45646</v>
      </c>
      <c r="Q174" s="312">
        <v>22165704</v>
      </c>
      <c r="R174" s="268"/>
      <c r="S174" s="250"/>
      <c r="T174" s="312">
        <f t="shared" ref="T174:T184" si="79">IF($N174="MENSUAL",ROUND((((S174-R174))/30),0)*$L174,((S174-R174)/30)*$L174)</f>
        <v>0</v>
      </c>
      <c r="U174" s="318">
        <v>10</v>
      </c>
      <c r="V174" s="352">
        <f t="shared" ref="V174:V184" si="80">+Q174+T174</f>
        <v>22165704</v>
      </c>
      <c r="W174" s="318"/>
      <c r="X174" s="352"/>
      <c r="Y174" s="301"/>
      <c r="Z174" s="302"/>
      <c r="AA174" s="356">
        <f t="shared" ref="AA174:AA184" si="81">+V174</f>
        <v>22165704</v>
      </c>
      <c r="AB174" s="270" t="s">
        <v>243</v>
      </c>
      <c r="AC174" s="393" t="s">
        <v>15</v>
      </c>
      <c r="AD174" s="358" t="s">
        <v>361</v>
      </c>
      <c r="AE174" s="358" t="s">
        <v>244</v>
      </c>
      <c r="AF174" s="359" t="str">
        <f>"CON-"&amp;A174</f>
        <v>CON-172</v>
      </c>
      <c r="AG174" s="270">
        <v>80111600</v>
      </c>
      <c r="AH174" s="249" t="s">
        <v>691</v>
      </c>
      <c r="AI174" s="301">
        <v>44963</v>
      </c>
      <c r="AJ174" s="301">
        <v>44963</v>
      </c>
      <c r="AK174" s="302">
        <v>9</v>
      </c>
      <c r="AL174" s="303" t="s">
        <v>241</v>
      </c>
      <c r="AM174" s="304" t="s">
        <v>242</v>
      </c>
      <c r="AN174" s="305">
        <v>22165704</v>
      </c>
      <c r="AO174" s="305">
        <f t="shared" ref="AO174:AO184" si="82">+AN174</f>
        <v>22165704</v>
      </c>
      <c r="AP174" s="303" t="s">
        <v>244</v>
      </c>
      <c r="AQ174" s="303" t="s">
        <v>245</v>
      </c>
      <c r="AR174" s="360" t="s">
        <v>246</v>
      </c>
      <c r="AS174" s="306" t="s">
        <v>247</v>
      </c>
      <c r="AT174" s="307" t="str">
        <f t="shared" ref="AT174:AT184" si="83">D174</f>
        <v>FACULTAD DE EDUCACIÓN</v>
      </c>
      <c r="AU174" s="308" t="s">
        <v>248</v>
      </c>
      <c r="AV174" s="361" t="s">
        <v>249</v>
      </c>
      <c r="AW174" s="303" t="s">
        <v>244</v>
      </c>
      <c r="AX174" s="303" t="s">
        <v>244</v>
      </c>
      <c r="AY174" s="362" t="s">
        <v>250</v>
      </c>
      <c r="AZ174" s="363" t="s">
        <v>251</v>
      </c>
      <c r="BA174" s="363" t="s">
        <v>252</v>
      </c>
      <c r="BB174" s="363" t="s">
        <v>250</v>
      </c>
      <c r="BC174" s="363"/>
      <c r="BD174" s="363"/>
    </row>
    <row r="175" spans="1:56" ht="46.5" customHeight="1" x14ac:dyDescent="0.2">
      <c r="A175" s="257">
        <v>173</v>
      </c>
      <c r="B175" s="299" t="s">
        <v>63</v>
      </c>
      <c r="C175" s="299" t="s">
        <v>13</v>
      </c>
      <c r="D175" s="299" t="s">
        <v>89</v>
      </c>
      <c r="E175" s="299" t="s">
        <v>44</v>
      </c>
      <c r="F175" s="350" t="s">
        <v>383</v>
      </c>
      <c r="G175" s="350" t="s">
        <v>374</v>
      </c>
      <c r="H175" s="299" t="s">
        <v>690</v>
      </c>
      <c r="I175" s="299" t="s">
        <v>28</v>
      </c>
      <c r="J175" s="299"/>
      <c r="K175" s="250"/>
      <c r="L175" s="311">
        <v>2233004</v>
      </c>
      <c r="M175" s="299">
        <v>1</v>
      </c>
      <c r="N175" s="299" t="s">
        <v>485</v>
      </c>
      <c r="O175" s="250">
        <v>45327</v>
      </c>
      <c r="P175" s="316">
        <v>45641</v>
      </c>
      <c r="Q175" s="312">
        <v>22330044</v>
      </c>
      <c r="R175" s="268"/>
      <c r="S175" s="250"/>
      <c r="T175" s="312">
        <f t="shared" si="79"/>
        <v>0</v>
      </c>
      <c r="U175" s="318">
        <f t="shared" ref="U175:U184" si="84">ROUND((((P175-O175)+(S175-R175))/30),0)</f>
        <v>10</v>
      </c>
      <c r="V175" s="352">
        <f t="shared" si="80"/>
        <v>22330044</v>
      </c>
      <c r="W175" s="318"/>
      <c r="X175" s="352"/>
      <c r="Y175" s="301"/>
      <c r="Z175" s="302"/>
      <c r="AA175" s="356">
        <f t="shared" si="81"/>
        <v>22330044</v>
      </c>
      <c r="AB175" s="270" t="s">
        <v>243</v>
      </c>
      <c r="AC175" s="393" t="s">
        <v>15</v>
      </c>
      <c r="AD175" s="358" t="s">
        <v>361</v>
      </c>
      <c r="AE175" s="358" t="s">
        <v>244</v>
      </c>
      <c r="AF175" s="359" t="str">
        <f t="shared" ref="AF175:AF184" si="85">"CON-"&amp;A175</f>
        <v>CON-173</v>
      </c>
      <c r="AG175" s="270">
        <v>80111600</v>
      </c>
      <c r="AH175" s="249" t="s">
        <v>691</v>
      </c>
      <c r="AI175" s="301">
        <v>44963</v>
      </c>
      <c r="AJ175" s="301">
        <v>44963</v>
      </c>
      <c r="AK175" s="302">
        <v>9</v>
      </c>
      <c r="AL175" s="303" t="s">
        <v>241</v>
      </c>
      <c r="AM175" s="304" t="s">
        <v>242</v>
      </c>
      <c r="AN175" s="305">
        <v>22330044</v>
      </c>
      <c r="AO175" s="305">
        <f t="shared" si="82"/>
        <v>22330044</v>
      </c>
      <c r="AP175" s="303" t="s">
        <v>244</v>
      </c>
      <c r="AQ175" s="303" t="s">
        <v>245</v>
      </c>
      <c r="AR175" s="360" t="s">
        <v>246</v>
      </c>
      <c r="AS175" s="306" t="s">
        <v>247</v>
      </c>
      <c r="AT175" s="307" t="str">
        <f t="shared" si="83"/>
        <v>FACULTAD DE EDUCACIÓN</v>
      </c>
      <c r="AU175" s="308" t="s">
        <v>248</v>
      </c>
      <c r="AV175" s="361" t="s">
        <v>249</v>
      </c>
      <c r="AW175" s="303" t="s">
        <v>244</v>
      </c>
      <c r="AX175" s="303" t="s">
        <v>244</v>
      </c>
      <c r="AY175" s="362" t="s">
        <v>250</v>
      </c>
      <c r="AZ175" s="363" t="s">
        <v>251</v>
      </c>
      <c r="BA175" s="363" t="s">
        <v>252</v>
      </c>
      <c r="BB175" s="363" t="s">
        <v>250</v>
      </c>
      <c r="BC175" s="363"/>
      <c r="BD175" s="363"/>
    </row>
    <row r="176" spans="1:56" ht="46.5" customHeight="1" x14ac:dyDescent="0.2">
      <c r="A176" s="257">
        <v>174</v>
      </c>
      <c r="B176" s="299" t="s">
        <v>63</v>
      </c>
      <c r="C176" s="299" t="s">
        <v>13</v>
      </c>
      <c r="D176" s="299" t="s">
        <v>89</v>
      </c>
      <c r="E176" s="299" t="s">
        <v>44</v>
      </c>
      <c r="F176" s="350" t="s">
        <v>383</v>
      </c>
      <c r="G176" s="350" t="s">
        <v>374</v>
      </c>
      <c r="H176" s="299" t="s">
        <v>690</v>
      </c>
      <c r="I176" s="299" t="s">
        <v>28</v>
      </c>
      <c r="J176" s="299"/>
      <c r="K176" s="250"/>
      <c r="L176" s="311">
        <v>3153418</v>
      </c>
      <c r="M176" s="299">
        <v>1</v>
      </c>
      <c r="N176" s="299" t="s">
        <v>485</v>
      </c>
      <c r="O176" s="250">
        <v>45327</v>
      </c>
      <c r="P176" s="316">
        <v>45641</v>
      </c>
      <c r="Q176" s="312">
        <v>31534184</v>
      </c>
      <c r="R176" s="268"/>
      <c r="S176" s="250"/>
      <c r="T176" s="312">
        <f t="shared" si="79"/>
        <v>0</v>
      </c>
      <c r="U176" s="318">
        <f t="shared" si="84"/>
        <v>10</v>
      </c>
      <c r="V176" s="352">
        <f t="shared" si="80"/>
        <v>31534184</v>
      </c>
      <c r="W176" s="318"/>
      <c r="X176" s="352"/>
      <c r="Y176" s="301"/>
      <c r="Z176" s="302"/>
      <c r="AA176" s="356">
        <f t="shared" si="81"/>
        <v>31534184</v>
      </c>
      <c r="AB176" s="270" t="s">
        <v>243</v>
      </c>
      <c r="AC176" s="393" t="s">
        <v>15</v>
      </c>
      <c r="AD176" s="358" t="s">
        <v>361</v>
      </c>
      <c r="AE176" s="358" t="s">
        <v>244</v>
      </c>
      <c r="AF176" s="359" t="str">
        <f t="shared" si="85"/>
        <v>CON-174</v>
      </c>
      <c r="AG176" s="270">
        <v>80111600</v>
      </c>
      <c r="AH176" s="249" t="s">
        <v>691</v>
      </c>
      <c r="AI176" s="301">
        <v>44963</v>
      </c>
      <c r="AJ176" s="301">
        <v>44963</v>
      </c>
      <c r="AK176" s="302">
        <v>9</v>
      </c>
      <c r="AL176" s="303" t="s">
        <v>241</v>
      </c>
      <c r="AM176" s="304" t="s">
        <v>242</v>
      </c>
      <c r="AN176" s="305">
        <v>31534184</v>
      </c>
      <c r="AO176" s="305">
        <f t="shared" si="82"/>
        <v>31534184</v>
      </c>
      <c r="AP176" s="303" t="s">
        <v>244</v>
      </c>
      <c r="AQ176" s="303" t="s">
        <v>245</v>
      </c>
      <c r="AR176" s="360" t="s">
        <v>246</v>
      </c>
      <c r="AS176" s="306" t="s">
        <v>247</v>
      </c>
      <c r="AT176" s="307" t="str">
        <f t="shared" si="83"/>
        <v>FACULTAD DE EDUCACIÓN</v>
      </c>
      <c r="AU176" s="308" t="s">
        <v>248</v>
      </c>
      <c r="AV176" s="361" t="s">
        <v>249</v>
      </c>
      <c r="AW176" s="303" t="s">
        <v>244</v>
      </c>
      <c r="AX176" s="303" t="s">
        <v>244</v>
      </c>
      <c r="AY176" s="362" t="s">
        <v>250</v>
      </c>
      <c r="AZ176" s="363" t="s">
        <v>251</v>
      </c>
      <c r="BA176" s="363" t="s">
        <v>252</v>
      </c>
      <c r="BB176" s="363" t="s">
        <v>250</v>
      </c>
      <c r="BC176" s="363"/>
      <c r="BD176" s="363"/>
    </row>
    <row r="177" spans="1:56" ht="46.5" customHeight="1" x14ac:dyDescent="0.2">
      <c r="A177" s="257">
        <v>175</v>
      </c>
      <c r="B177" s="299" t="s">
        <v>63</v>
      </c>
      <c r="C177" s="299" t="s">
        <v>13</v>
      </c>
      <c r="D177" s="299" t="s">
        <v>89</v>
      </c>
      <c r="E177" s="299" t="s">
        <v>44</v>
      </c>
      <c r="F177" s="350" t="s">
        <v>383</v>
      </c>
      <c r="G177" s="350" t="s">
        <v>374</v>
      </c>
      <c r="H177" s="299" t="s">
        <v>690</v>
      </c>
      <c r="I177" s="299" t="s">
        <v>28</v>
      </c>
      <c r="J177" s="299"/>
      <c r="K177" s="250"/>
      <c r="L177" s="311">
        <v>2233004</v>
      </c>
      <c r="M177" s="299">
        <v>1</v>
      </c>
      <c r="N177" s="299" t="s">
        <v>485</v>
      </c>
      <c r="O177" s="250">
        <v>45327</v>
      </c>
      <c r="P177" s="316">
        <v>45641</v>
      </c>
      <c r="Q177" s="312">
        <v>22330044</v>
      </c>
      <c r="R177" s="268"/>
      <c r="S177" s="250"/>
      <c r="T177" s="312">
        <f t="shared" si="79"/>
        <v>0</v>
      </c>
      <c r="U177" s="318">
        <f t="shared" si="84"/>
        <v>10</v>
      </c>
      <c r="V177" s="352">
        <f t="shared" si="80"/>
        <v>22330044</v>
      </c>
      <c r="W177" s="318"/>
      <c r="X177" s="352"/>
      <c r="Y177" s="301"/>
      <c r="Z177" s="302"/>
      <c r="AA177" s="356">
        <f t="shared" si="81"/>
        <v>22330044</v>
      </c>
      <c r="AB177" s="270" t="s">
        <v>243</v>
      </c>
      <c r="AC177" s="393" t="s">
        <v>15</v>
      </c>
      <c r="AD177" s="358" t="s">
        <v>361</v>
      </c>
      <c r="AE177" s="358" t="s">
        <v>244</v>
      </c>
      <c r="AF177" s="359" t="str">
        <f t="shared" si="85"/>
        <v>CON-175</v>
      </c>
      <c r="AG177" s="270">
        <v>80111600</v>
      </c>
      <c r="AH177" s="249" t="s">
        <v>691</v>
      </c>
      <c r="AI177" s="301">
        <v>44963</v>
      </c>
      <c r="AJ177" s="301">
        <v>44963</v>
      </c>
      <c r="AK177" s="302">
        <v>9</v>
      </c>
      <c r="AL177" s="303" t="s">
        <v>241</v>
      </c>
      <c r="AM177" s="304" t="s">
        <v>242</v>
      </c>
      <c r="AN177" s="305">
        <v>22330044</v>
      </c>
      <c r="AO177" s="305">
        <f t="shared" si="82"/>
        <v>22330044</v>
      </c>
      <c r="AP177" s="303" t="s">
        <v>244</v>
      </c>
      <c r="AQ177" s="303" t="s">
        <v>245</v>
      </c>
      <c r="AR177" s="360" t="s">
        <v>246</v>
      </c>
      <c r="AS177" s="306" t="s">
        <v>247</v>
      </c>
      <c r="AT177" s="307" t="str">
        <f t="shared" si="83"/>
        <v>FACULTAD DE EDUCACIÓN</v>
      </c>
      <c r="AU177" s="308" t="s">
        <v>248</v>
      </c>
      <c r="AV177" s="361" t="s">
        <v>249</v>
      </c>
      <c r="AW177" s="303" t="s">
        <v>244</v>
      </c>
      <c r="AX177" s="303" t="s">
        <v>244</v>
      </c>
      <c r="AY177" s="362" t="s">
        <v>250</v>
      </c>
      <c r="AZ177" s="363" t="s">
        <v>251</v>
      </c>
      <c r="BA177" s="363" t="s">
        <v>252</v>
      </c>
      <c r="BB177" s="363" t="s">
        <v>250</v>
      </c>
      <c r="BC177" s="363"/>
      <c r="BD177" s="363"/>
    </row>
    <row r="178" spans="1:56" ht="46.5" customHeight="1" x14ac:dyDescent="0.2">
      <c r="A178" s="257">
        <v>176</v>
      </c>
      <c r="B178" s="299" t="s">
        <v>63</v>
      </c>
      <c r="C178" s="299" t="s">
        <v>13</v>
      </c>
      <c r="D178" s="299" t="s">
        <v>89</v>
      </c>
      <c r="E178" s="299" t="s">
        <v>44</v>
      </c>
      <c r="F178" s="350" t="s">
        <v>383</v>
      </c>
      <c r="G178" s="350" t="s">
        <v>374</v>
      </c>
      <c r="H178" s="299" t="s">
        <v>690</v>
      </c>
      <c r="I178" s="299" t="s">
        <v>28</v>
      </c>
      <c r="J178" s="299"/>
      <c r="K178" s="250"/>
      <c r="L178" s="311">
        <v>2551957</v>
      </c>
      <c r="M178" s="299">
        <v>1</v>
      </c>
      <c r="N178" s="299" t="s">
        <v>485</v>
      </c>
      <c r="O178" s="250">
        <v>45327</v>
      </c>
      <c r="P178" s="316">
        <v>45641</v>
      </c>
      <c r="Q178" s="312">
        <v>25519572</v>
      </c>
      <c r="R178" s="268"/>
      <c r="S178" s="250"/>
      <c r="T178" s="312">
        <f t="shared" si="79"/>
        <v>0</v>
      </c>
      <c r="U178" s="318">
        <f t="shared" si="84"/>
        <v>10</v>
      </c>
      <c r="V178" s="352">
        <f t="shared" si="80"/>
        <v>25519572</v>
      </c>
      <c r="W178" s="318"/>
      <c r="X178" s="352"/>
      <c r="Y178" s="301"/>
      <c r="Z178" s="302"/>
      <c r="AA178" s="356">
        <f t="shared" si="81"/>
        <v>25519572</v>
      </c>
      <c r="AB178" s="270" t="s">
        <v>243</v>
      </c>
      <c r="AC178" s="393" t="s">
        <v>15</v>
      </c>
      <c r="AD178" s="358" t="s">
        <v>361</v>
      </c>
      <c r="AE178" s="358" t="s">
        <v>244</v>
      </c>
      <c r="AF178" s="359" t="str">
        <f t="shared" si="85"/>
        <v>CON-176</v>
      </c>
      <c r="AG178" s="270">
        <v>80111600</v>
      </c>
      <c r="AH178" s="249" t="s">
        <v>691</v>
      </c>
      <c r="AI178" s="301">
        <v>44963</v>
      </c>
      <c r="AJ178" s="301">
        <v>44963</v>
      </c>
      <c r="AK178" s="302">
        <v>9</v>
      </c>
      <c r="AL178" s="303" t="s">
        <v>241</v>
      </c>
      <c r="AM178" s="304" t="s">
        <v>242</v>
      </c>
      <c r="AN178" s="305">
        <v>25519572</v>
      </c>
      <c r="AO178" s="305">
        <f t="shared" si="82"/>
        <v>25519572</v>
      </c>
      <c r="AP178" s="303" t="s">
        <v>244</v>
      </c>
      <c r="AQ178" s="303" t="s">
        <v>245</v>
      </c>
      <c r="AR178" s="360" t="s">
        <v>246</v>
      </c>
      <c r="AS178" s="306" t="s">
        <v>247</v>
      </c>
      <c r="AT178" s="307" t="str">
        <f t="shared" si="83"/>
        <v>FACULTAD DE EDUCACIÓN</v>
      </c>
      <c r="AU178" s="308" t="s">
        <v>248</v>
      </c>
      <c r="AV178" s="361" t="s">
        <v>249</v>
      </c>
      <c r="AW178" s="303" t="s">
        <v>244</v>
      </c>
      <c r="AX178" s="303" t="s">
        <v>244</v>
      </c>
      <c r="AY178" s="362" t="s">
        <v>250</v>
      </c>
      <c r="AZ178" s="363" t="s">
        <v>251</v>
      </c>
      <c r="BA178" s="363" t="s">
        <v>252</v>
      </c>
      <c r="BB178" s="363" t="s">
        <v>250</v>
      </c>
      <c r="BC178" s="363"/>
      <c r="BD178" s="363"/>
    </row>
    <row r="179" spans="1:56" ht="46.5" customHeight="1" x14ac:dyDescent="0.2">
      <c r="A179" s="257">
        <v>177</v>
      </c>
      <c r="B179" s="299" t="s">
        <v>63</v>
      </c>
      <c r="C179" s="299" t="s">
        <v>13</v>
      </c>
      <c r="D179" s="299" t="s">
        <v>89</v>
      </c>
      <c r="E179" s="299" t="s">
        <v>44</v>
      </c>
      <c r="F179" s="350" t="s">
        <v>383</v>
      </c>
      <c r="G179" s="350" t="s">
        <v>374</v>
      </c>
      <c r="H179" s="299" t="s">
        <v>690</v>
      </c>
      <c r="I179" s="299" t="s">
        <v>28</v>
      </c>
      <c r="J179" s="299"/>
      <c r="K179" s="250"/>
      <c r="L179" s="311">
        <v>2126631</v>
      </c>
      <c r="M179" s="299">
        <v>1</v>
      </c>
      <c r="N179" s="299" t="s">
        <v>485</v>
      </c>
      <c r="O179" s="250">
        <v>45327</v>
      </c>
      <c r="P179" s="316">
        <v>45641</v>
      </c>
      <c r="Q179" s="312">
        <v>21266310</v>
      </c>
      <c r="R179" s="268"/>
      <c r="S179" s="250"/>
      <c r="T179" s="312">
        <f t="shared" si="79"/>
        <v>0</v>
      </c>
      <c r="U179" s="318">
        <f t="shared" si="84"/>
        <v>10</v>
      </c>
      <c r="V179" s="352">
        <f>+Q179+T179</f>
        <v>21266310</v>
      </c>
      <c r="W179" s="318"/>
      <c r="X179" s="352"/>
      <c r="Y179" s="301"/>
      <c r="Z179" s="302"/>
      <c r="AA179" s="356">
        <f t="shared" si="81"/>
        <v>21266310</v>
      </c>
      <c r="AB179" s="270" t="s">
        <v>243</v>
      </c>
      <c r="AC179" s="393" t="s">
        <v>15</v>
      </c>
      <c r="AD179" s="358" t="s">
        <v>361</v>
      </c>
      <c r="AE179" s="358" t="s">
        <v>244</v>
      </c>
      <c r="AF179" s="359" t="str">
        <f t="shared" si="85"/>
        <v>CON-177</v>
      </c>
      <c r="AG179" s="270">
        <v>80111600</v>
      </c>
      <c r="AH179" s="249" t="s">
        <v>691</v>
      </c>
      <c r="AI179" s="301">
        <v>44963</v>
      </c>
      <c r="AJ179" s="301">
        <v>44963</v>
      </c>
      <c r="AK179" s="302">
        <v>9</v>
      </c>
      <c r="AL179" s="303" t="s">
        <v>241</v>
      </c>
      <c r="AM179" s="304" t="s">
        <v>242</v>
      </c>
      <c r="AN179" s="305">
        <v>21266310</v>
      </c>
      <c r="AO179" s="305">
        <f t="shared" si="82"/>
        <v>21266310</v>
      </c>
      <c r="AP179" s="303" t="s">
        <v>244</v>
      </c>
      <c r="AQ179" s="303" t="s">
        <v>245</v>
      </c>
      <c r="AR179" s="360" t="s">
        <v>246</v>
      </c>
      <c r="AS179" s="306" t="s">
        <v>247</v>
      </c>
      <c r="AT179" s="307" t="str">
        <f t="shared" si="83"/>
        <v>FACULTAD DE EDUCACIÓN</v>
      </c>
      <c r="AU179" s="308" t="s">
        <v>248</v>
      </c>
      <c r="AV179" s="361" t="s">
        <v>249</v>
      </c>
      <c r="AW179" s="303" t="s">
        <v>244</v>
      </c>
      <c r="AX179" s="303" t="s">
        <v>244</v>
      </c>
      <c r="AY179" s="362" t="s">
        <v>250</v>
      </c>
      <c r="AZ179" s="363" t="s">
        <v>251</v>
      </c>
      <c r="BA179" s="363" t="s">
        <v>252</v>
      </c>
      <c r="BB179" s="363" t="s">
        <v>250</v>
      </c>
      <c r="BC179" s="363"/>
      <c r="BD179" s="363"/>
    </row>
    <row r="180" spans="1:56" ht="46.5" customHeight="1" x14ac:dyDescent="0.2">
      <c r="A180" s="257">
        <v>178</v>
      </c>
      <c r="B180" s="299" t="s">
        <v>63</v>
      </c>
      <c r="C180" s="299" t="s">
        <v>13</v>
      </c>
      <c r="D180" s="299" t="s">
        <v>89</v>
      </c>
      <c r="E180" s="299" t="s">
        <v>44</v>
      </c>
      <c r="F180" s="350" t="s">
        <v>383</v>
      </c>
      <c r="G180" s="350" t="s">
        <v>374</v>
      </c>
      <c r="H180" s="299" t="s">
        <v>690</v>
      </c>
      <c r="I180" s="299" t="s">
        <v>28</v>
      </c>
      <c r="J180" s="299"/>
      <c r="K180" s="250"/>
      <c r="L180" s="311">
        <v>2126631</v>
      </c>
      <c r="M180" s="299">
        <v>1</v>
      </c>
      <c r="N180" s="299" t="s">
        <v>485</v>
      </c>
      <c r="O180" s="250">
        <v>45327</v>
      </c>
      <c r="P180" s="316">
        <v>45641</v>
      </c>
      <c r="Q180" s="312">
        <v>21266310</v>
      </c>
      <c r="R180" s="268"/>
      <c r="S180" s="250"/>
      <c r="T180" s="312">
        <f t="shared" si="79"/>
        <v>0</v>
      </c>
      <c r="U180" s="318">
        <f t="shared" si="84"/>
        <v>10</v>
      </c>
      <c r="V180" s="352">
        <f t="shared" si="80"/>
        <v>21266310</v>
      </c>
      <c r="W180" s="318"/>
      <c r="X180" s="352"/>
      <c r="Y180" s="301"/>
      <c r="Z180" s="302"/>
      <c r="AA180" s="356">
        <f t="shared" si="81"/>
        <v>21266310</v>
      </c>
      <c r="AB180" s="270" t="s">
        <v>243</v>
      </c>
      <c r="AC180" s="393" t="s">
        <v>15</v>
      </c>
      <c r="AD180" s="358" t="s">
        <v>361</v>
      </c>
      <c r="AE180" s="358" t="s">
        <v>244</v>
      </c>
      <c r="AF180" s="359" t="str">
        <f t="shared" si="85"/>
        <v>CON-178</v>
      </c>
      <c r="AG180" s="270">
        <v>80111600</v>
      </c>
      <c r="AH180" s="249" t="s">
        <v>691</v>
      </c>
      <c r="AI180" s="301">
        <v>44963</v>
      </c>
      <c r="AJ180" s="301">
        <v>44963</v>
      </c>
      <c r="AK180" s="302">
        <v>9</v>
      </c>
      <c r="AL180" s="303" t="s">
        <v>241</v>
      </c>
      <c r="AM180" s="304" t="s">
        <v>242</v>
      </c>
      <c r="AN180" s="305">
        <v>21266310</v>
      </c>
      <c r="AO180" s="305">
        <f t="shared" si="82"/>
        <v>21266310</v>
      </c>
      <c r="AP180" s="303" t="s">
        <v>244</v>
      </c>
      <c r="AQ180" s="303" t="s">
        <v>245</v>
      </c>
      <c r="AR180" s="360" t="s">
        <v>246</v>
      </c>
      <c r="AS180" s="306" t="s">
        <v>247</v>
      </c>
      <c r="AT180" s="307" t="str">
        <f t="shared" si="83"/>
        <v>FACULTAD DE EDUCACIÓN</v>
      </c>
      <c r="AU180" s="308" t="s">
        <v>248</v>
      </c>
      <c r="AV180" s="361" t="s">
        <v>249</v>
      </c>
      <c r="AW180" s="303" t="s">
        <v>244</v>
      </c>
      <c r="AX180" s="303" t="s">
        <v>244</v>
      </c>
      <c r="AY180" s="362" t="s">
        <v>250</v>
      </c>
      <c r="AZ180" s="363" t="s">
        <v>251</v>
      </c>
      <c r="BA180" s="363" t="s">
        <v>252</v>
      </c>
      <c r="BB180" s="363" t="s">
        <v>250</v>
      </c>
      <c r="BC180" s="363"/>
      <c r="BD180" s="363"/>
    </row>
    <row r="181" spans="1:56" ht="46.5" customHeight="1" x14ac:dyDescent="0.2">
      <c r="A181" s="257">
        <v>179</v>
      </c>
      <c r="B181" s="299" t="s">
        <v>63</v>
      </c>
      <c r="C181" s="299" t="s">
        <v>13</v>
      </c>
      <c r="D181" s="299" t="s">
        <v>89</v>
      </c>
      <c r="E181" s="299" t="s">
        <v>44</v>
      </c>
      <c r="F181" s="350" t="s">
        <v>383</v>
      </c>
      <c r="G181" s="350" t="s">
        <v>374</v>
      </c>
      <c r="H181" s="299" t="s">
        <v>690</v>
      </c>
      <c r="I181" s="299" t="s">
        <v>28</v>
      </c>
      <c r="J181" s="299"/>
      <c r="K181" s="250"/>
      <c r="L181" s="311">
        <v>3823362</v>
      </c>
      <c r="M181" s="299">
        <v>1</v>
      </c>
      <c r="N181" s="299" t="s">
        <v>485</v>
      </c>
      <c r="O181" s="250">
        <v>45327</v>
      </c>
      <c r="P181" s="316">
        <v>45646</v>
      </c>
      <c r="Q181" s="312">
        <v>38233624</v>
      </c>
      <c r="R181" s="268"/>
      <c r="S181" s="250"/>
      <c r="T181" s="312">
        <f t="shared" si="79"/>
        <v>0</v>
      </c>
      <c r="U181" s="318">
        <v>10</v>
      </c>
      <c r="V181" s="352">
        <f t="shared" si="80"/>
        <v>38233624</v>
      </c>
      <c r="W181" s="318"/>
      <c r="X181" s="352"/>
      <c r="Y181" s="301"/>
      <c r="Z181" s="302"/>
      <c r="AA181" s="356">
        <f t="shared" si="81"/>
        <v>38233624</v>
      </c>
      <c r="AB181" s="270" t="s">
        <v>243</v>
      </c>
      <c r="AC181" s="393" t="s">
        <v>15</v>
      </c>
      <c r="AD181" s="358" t="s">
        <v>361</v>
      </c>
      <c r="AE181" s="358" t="s">
        <v>244</v>
      </c>
      <c r="AF181" s="359" t="str">
        <f t="shared" si="85"/>
        <v>CON-179</v>
      </c>
      <c r="AG181" s="270">
        <v>80111600</v>
      </c>
      <c r="AH181" s="249" t="s">
        <v>691</v>
      </c>
      <c r="AI181" s="301">
        <v>44963</v>
      </c>
      <c r="AJ181" s="301">
        <v>44963</v>
      </c>
      <c r="AK181" s="302">
        <v>9</v>
      </c>
      <c r="AL181" s="303" t="s">
        <v>241</v>
      </c>
      <c r="AM181" s="304" t="s">
        <v>242</v>
      </c>
      <c r="AN181" s="305">
        <v>38233624</v>
      </c>
      <c r="AO181" s="305">
        <f t="shared" si="82"/>
        <v>38233624</v>
      </c>
      <c r="AP181" s="303" t="s">
        <v>244</v>
      </c>
      <c r="AQ181" s="303" t="s">
        <v>245</v>
      </c>
      <c r="AR181" s="360" t="s">
        <v>246</v>
      </c>
      <c r="AS181" s="306" t="s">
        <v>247</v>
      </c>
      <c r="AT181" s="307" t="str">
        <f t="shared" si="83"/>
        <v>FACULTAD DE EDUCACIÓN</v>
      </c>
      <c r="AU181" s="308" t="s">
        <v>248</v>
      </c>
      <c r="AV181" s="361" t="s">
        <v>249</v>
      </c>
      <c r="AW181" s="303" t="s">
        <v>244</v>
      </c>
      <c r="AX181" s="303" t="s">
        <v>244</v>
      </c>
      <c r="AY181" s="362" t="s">
        <v>250</v>
      </c>
      <c r="AZ181" s="363" t="s">
        <v>251</v>
      </c>
      <c r="BA181" s="363" t="s">
        <v>252</v>
      </c>
      <c r="BB181" s="363" t="s">
        <v>250</v>
      </c>
      <c r="BC181" s="363"/>
      <c r="BD181" s="363"/>
    </row>
    <row r="182" spans="1:56" ht="46.5" customHeight="1" x14ac:dyDescent="0.2">
      <c r="A182" s="257">
        <v>180</v>
      </c>
      <c r="B182" s="299" t="s">
        <v>63</v>
      </c>
      <c r="C182" s="299" t="s">
        <v>13</v>
      </c>
      <c r="D182" s="299" t="s">
        <v>89</v>
      </c>
      <c r="E182" s="299" t="s">
        <v>44</v>
      </c>
      <c r="F182" s="350" t="s">
        <v>383</v>
      </c>
      <c r="G182" s="350" t="s">
        <v>374</v>
      </c>
      <c r="H182" s="299" t="s">
        <v>690</v>
      </c>
      <c r="I182" s="299" t="s">
        <v>28</v>
      </c>
      <c r="J182" s="299"/>
      <c r="K182" s="250"/>
      <c r="L182" s="311">
        <v>2977339</v>
      </c>
      <c r="M182" s="299">
        <v>1</v>
      </c>
      <c r="N182" s="299" t="s">
        <v>485</v>
      </c>
      <c r="O182" s="250">
        <v>45327</v>
      </c>
      <c r="P182" s="316">
        <v>45641</v>
      </c>
      <c r="Q182" s="312">
        <v>29773392</v>
      </c>
      <c r="R182" s="268"/>
      <c r="S182" s="250"/>
      <c r="T182" s="312">
        <f t="shared" si="79"/>
        <v>0</v>
      </c>
      <c r="U182" s="318">
        <f t="shared" si="84"/>
        <v>10</v>
      </c>
      <c r="V182" s="352">
        <f t="shared" si="80"/>
        <v>29773392</v>
      </c>
      <c r="W182" s="318"/>
      <c r="X182" s="352"/>
      <c r="Y182" s="301"/>
      <c r="Z182" s="302"/>
      <c r="AA182" s="356">
        <f t="shared" si="81"/>
        <v>29773392</v>
      </c>
      <c r="AB182" s="270" t="s">
        <v>243</v>
      </c>
      <c r="AC182" s="393" t="s">
        <v>15</v>
      </c>
      <c r="AD182" s="358" t="s">
        <v>361</v>
      </c>
      <c r="AE182" s="358" t="s">
        <v>244</v>
      </c>
      <c r="AF182" s="359" t="str">
        <f t="shared" si="85"/>
        <v>CON-180</v>
      </c>
      <c r="AG182" s="270">
        <v>80111600</v>
      </c>
      <c r="AH182" s="249" t="s">
        <v>691</v>
      </c>
      <c r="AI182" s="301">
        <v>44963</v>
      </c>
      <c r="AJ182" s="301">
        <v>44963</v>
      </c>
      <c r="AK182" s="302">
        <v>9</v>
      </c>
      <c r="AL182" s="303" t="s">
        <v>241</v>
      </c>
      <c r="AM182" s="304" t="s">
        <v>242</v>
      </c>
      <c r="AN182" s="305">
        <v>29773392</v>
      </c>
      <c r="AO182" s="305">
        <f t="shared" si="82"/>
        <v>29773392</v>
      </c>
      <c r="AP182" s="303" t="s">
        <v>244</v>
      </c>
      <c r="AQ182" s="303" t="s">
        <v>245</v>
      </c>
      <c r="AR182" s="360" t="s">
        <v>246</v>
      </c>
      <c r="AS182" s="306" t="s">
        <v>247</v>
      </c>
      <c r="AT182" s="307" t="str">
        <f t="shared" si="83"/>
        <v>FACULTAD DE EDUCACIÓN</v>
      </c>
      <c r="AU182" s="308" t="s">
        <v>248</v>
      </c>
      <c r="AV182" s="361" t="s">
        <v>249</v>
      </c>
      <c r="AW182" s="303" t="s">
        <v>244</v>
      </c>
      <c r="AX182" s="303" t="s">
        <v>244</v>
      </c>
      <c r="AY182" s="362" t="s">
        <v>250</v>
      </c>
      <c r="AZ182" s="363" t="s">
        <v>251</v>
      </c>
      <c r="BA182" s="363" t="s">
        <v>252</v>
      </c>
      <c r="BB182" s="363" t="s">
        <v>250</v>
      </c>
      <c r="BC182" s="363"/>
      <c r="BD182" s="363"/>
    </row>
    <row r="183" spans="1:56" ht="46.5" customHeight="1" x14ac:dyDescent="0.2">
      <c r="A183" s="257">
        <v>181</v>
      </c>
      <c r="B183" s="299" t="s">
        <v>63</v>
      </c>
      <c r="C183" s="299" t="s">
        <v>13</v>
      </c>
      <c r="D183" s="299" t="s">
        <v>89</v>
      </c>
      <c r="E183" s="299" t="s">
        <v>44</v>
      </c>
      <c r="F183" s="350" t="s">
        <v>383</v>
      </c>
      <c r="G183" s="350" t="s">
        <v>374</v>
      </c>
      <c r="H183" s="299" t="s">
        <v>690</v>
      </c>
      <c r="I183" s="299" t="s">
        <v>28</v>
      </c>
      <c r="J183" s="299"/>
      <c r="K183" s="250"/>
      <c r="L183" s="311">
        <v>3402610</v>
      </c>
      <c r="M183" s="299">
        <v>1</v>
      </c>
      <c r="N183" s="299" t="s">
        <v>485</v>
      </c>
      <c r="O183" s="250">
        <v>45327</v>
      </c>
      <c r="P183" s="316">
        <v>45641</v>
      </c>
      <c r="Q183" s="312">
        <v>34026096</v>
      </c>
      <c r="R183" s="268"/>
      <c r="S183" s="250"/>
      <c r="T183" s="312">
        <f t="shared" si="79"/>
        <v>0</v>
      </c>
      <c r="U183" s="318">
        <f t="shared" si="84"/>
        <v>10</v>
      </c>
      <c r="V183" s="352">
        <f t="shared" si="80"/>
        <v>34026096</v>
      </c>
      <c r="W183" s="318"/>
      <c r="X183" s="352"/>
      <c r="Y183" s="301"/>
      <c r="Z183" s="302"/>
      <c r="AA183" s="356">
        <f t="shared" si="81"/>
        <v>34026096</v>
      </c>
      <c r="AB183" s="270" t="s">
        <v>243</v>
      </c>
      <c r="AC183" s="393" t="s">
        <v>15</v>
      </c>
      <c r="AD183" s="358" t="s">
        <v>361</v>
      </c>
      <c r="AE183" s="358" t="s">
        <v>244</v>
      </c>
      <c r="AF183" s="359" t="str">
        <f t="shared" si="85"/>
        <v>CON-181</v>
      </c>
      <c r="AG183" s="270">
        <v>80111600</v>
      </c>
      <c r="AH183" s="249" t="s">
        <v>691</v>
      </c>
      <c r="AI183" s="301">
        <v>44963</v>
      </c>
      <c r="AJ183" s="301">
        <v>44963</v>
      </c>
      <c r="AK183" s="302">
        <v>9</v>
      </c>
      <c r="AL183" s="303" t="s">
        <v>241</v>
      </c>
      <c r="AM183" s="304" t="s">
        <v>242</v>
      </c>
      <c r="AN183" s="305">
        <v>34026096</v>
      </c>
      <c r="AO183" s="305">
        <f t="shared" si="82"/>
        <v>34026096</v>
      </c>
      <c r="AP183" s="303" t="s">
        <v>244</v>
      </c>
      <c r="AQ183" s="303" t="s">
        <v>245</v>
      </c>
      <c r="AR183" s="360" t="s">
        <v>246</v>
      </c>
      <c r="AS183" s="306" t="s">
        <v>247</v>
      </c>
      <c r="AT183" s="307" t="str">
        <f t="shared" si="83"/>
        <v>FACULTAD DE EDUCACIÓN</v>
      </c>
      <c r="AU183" s="308" t="s">
        <v>248</v>
      </c>
      <c r="AV183" s="361" t="s">
        <v>249</v>
      </c>
      <c r="AW183" s="303" t="s">
        <v>244</v>
      </c>
      <c r="AX183" s="303" t="s">
        <v>244</v>
      </c>
      <c r="AY183" s="362" t="s">
        <v>250</v>
      </c>
      <c r="AZ183" s="363" t="s">
        <v>251</v>
      </c>
      <c r="BA183" s="363" t="s">
        <v>252</v>
      </c>
      <c r="BB183" s="363" t="s">
        <v>250</v>
      </c>
      <c r="BC183" s="363"/>
      <c r="BD183" s="363"/>
    </row>
    <row r="184" spans="1:56" ht="49.5" customHeight="1" x14ac:dyDescent="0.2">
      <c r="A184" s="257">
        <v>182</v>
      </c>
      <c r="B184" s="299" t="s">
        <v>63</v>
      </c>
      <c r="C184" s="299" t="s">
        <v>13</v>
      </c>
      <c r="D184" s="299" t="s">
        <v>89</v>
      </c>
      <c r="E184" s="299" t="s">
        <v>44</v>
      </c>
      <c r="F184" s="350" t="s">
        <v>383</v>
      </c>
      <c r="G184" s="350" t="s">
        <v>374</v>
      </c>
      <c r="H184" s="299" t="s">
        <v>690</v>
      </c>
      <c r="I184" s="299" t="s">
        <v>28</v>
      </c>
      <c r="J184" s="312"/>
      <c r="K184" s="318"/>
      <c r="L184" s="311">
        <v>2126631</v>
      </c>
      <c r="M184" s="299">
        <v>1</v>
      </c>
      <c r="N184" s="299" t="s">
        <v>485</v>
      </c>
      <c r="O184" s="250">
        <v>45327</v>
      </c>
      <c r="P184" s="316">
        <v>45641</v>
      </c>
      <c r="Q184" s="312">
        <v>21266310</v>
      </c>
      <c r="R184" s="268"/>
      <c r="S184" s="250"/>
      <c r="T184" s="312">
        <f t="shared" si="79"/>
        <v>0</v>
      </c>
      <c r="U184" s="318">
        <f t="shared" si="84"/>
        <v>10</v>
      </c>
      <c r="V184" s="352">
        <f t="shared" si="80"/>
        <v>21266310</v>
      </c>
      <c r="W184" s="299"/>
      <c r="X184" s="316"/>
      <c r="Y184" s="312"/>
      <c r="Z184" s="312"/>
      <c r="AA184" s="356">
        <f t="shared" si="81"/>
        <v>21266310</v>
      </c>
      <c r="AB184" s="270" t="s">
        <v>243</v>
      </c>
      <c r="AC184" s="393" t="s">
        <v>15</v>
      </c>
      <c r="AD184" s="358" t="s">
        <v>361</v>
      </c>
      <c r="AE184" s="358" t="s">
        <v>244</v>
      </c>
      <c r="AF184" s="359" t="str">
        <f t="shared" si="85"/>
        <v>CON-182</v>
      </c>
      <c r="AG184" s="270">
        <v>80111600</v>
      </c>
      <c r="AH184" s="249" t="s">
        <v>691</v>
      </c>
      <c r="AI184" s="301">
        <v>44963</v>
      </c>
      <c r="AJ184" s="301">
        <v>44963</v>
      </c>
      <c r="AK184" s="302">
        <v>9</v>
      </c>
      <c r="AL184" s="303" t="s">
        <v>241</v>
      </c>
      <c r="AM184" s="304" t="s">
        <v>242</v>
      </c>
      <c r="AN184" s="305">
        <v>21266310</v>
      </c>
      <c r="AO184" s="305">
        <f t="shared" si="82"/>
        <v>21266310</v>
      </c>
      <c r="AP184" s="303" t="s">
        <v>244</v>
      </c>
      <c r="AQ184" s="303" t="s">
        <v>245</v>
      </c>
      <c r="AR184" s="360" t="s">
        <v>246</v>
      </c>
      <c r="AS184" s="306" t="s">
        <v>247</v>
      </c>
      <c r="AT184" s="307" t="str">
        <f t="shared" si="83"/>
        <v>FACULTAD DE EDUCACIÓN</v>
      </c>
      <c r="AU184" s="308" t="s">
        <v>248</v>
      </c>
      <c r="AV184" s="361" t="s">
        <v>249</v>
      </c>
      <c r="AW184" s="303" t="s">
        <v>244</v>
      </c>
      <c r="AX184" s="303" t="s">
        <v>244</v>
      </c>
      <c r="AY184" s="362" t="s">
        <v>250</v>
      </c>
      <c r="AZ184" s="363" t="s">
        <v>251</v>
      </c>
      <c r="BA184" s="363" t="s">
        <v>252</v>
      </c>
      <c r="BB184" s="363" t="s">
        <v>250</v>
      </c>
      <c r="BC184" s="363"/>
      <c r="BD184" s="363"/>
    </row>
    <row r="185" spans="1:56" ht="48" x14ac:dyDescent="0.2">
      <c r="A185" s="257">
        <v>183</v>
      </c>
      <c r="B185" s="299" t="s">
        <v>90</v>
      </c>
      <c r="C185" s="299" t="s">
        <v>78</v>
      </c>
      <c r="D185" s="299" t="s">
        <v>375</v>
      </c>
      <c r="E185" s="299"/>
      <c r="F185" s="350" t="s">
        <v>383</v>
      </c>
      <c r="G185" s="350" t="s">
        <v>374</v>
      </c>
      <c r="H185" s="45" t="s">
        <v>69</v>
      </c>
      <c r="I185" s="299"/>
      <c r="J185" s="269">
        <v>1967592.5925925926</v>
      </c>
      <c r="K185" s="300">
        <v>5.0000000000000044E-2</v>
      </c>
      <c r="L185" s="395" t="s">
        <v>692</v>
      </c>
      <c r="M185" s="299">
        <v>1</v>
      </c>
      <c r="N185" s="299" t="s">
        <v>686</v>
      </c>
      <c r="O185" s="250">
        <v>45339</v>
      </c>
      <c r="P185" s="316">
        <v>45472</v>
      </c>
      <c r="Q185" s="396">
        <v>15888517</v>
      </c>
      <c r="R185" s="317"/>
      <c r="S185" s="317"/>
      <c r="T185" s="396">
        <v>0</v>
      </c>
      <c r="U185" s="397">
        <v>5</v>
      </c>
      <c r="V185" s="396">
        <v>15888517</v>
      </c>
      <c r="W185" s="398">
        <v>1750000000</v>
      </c>
      <c r="X185" s="353">
        <v>-0.43899999999999995</v>
      </c>
      <c r="Y185" s="376"/>
      <c r="Z185" s="376" t="s">
        <v>376</v>
      </c>
      <c r="AA185" s="398">
        <v>981750000</v>
      </c>
      <c r="AB185" s="270" t="s">
        <v>243</v>
      </c>
      <c r="AC185" s="393" t="s">
        <v>373</v>
      </c>
      <c r="AD185" s="393" t="s">
        <v>361</v>
      </c>
      <c r="AE185" s="358" t="s">
        <v>244</v>
      </c>
      <c r="AF185" s="399" t="str">
        <f>"CLE-"&amp;A185</f>
        <v>CLE-183</v>
      </c>
      <c r="AG185" s="270">
        <v>80111600</v>
      </c>
      <c r="AH185" s="310" t="s">
        <v>682</v>
      </c>
      <c r="AI185" s="301">
        <v>45327</v>
      </c>
      <c r="AJ185" s="301">
        <v>45327</v>
      </c>
      <c r="AK185" s="302">
        <v>5</v>
      </c>
      <c r="AL185" s="303" t="s">
        <v>241</v>
      </c>
      <c r="AM185" s="304" t="s">
        <v>242</v>
      </c>
      <c r="AN185" s="400">
        <v>15888517</v>
      </c>
      <c r="AO185" s="400">
        <v>15888517</v>
      </c>
      <c r="AP185" s="303" t="s">
        <v>244</v>
      </c>
      <c r="AQ185" s="303" t="s">
        <v>245</v>
      </c>
      <c r="AR185" s="360" t="s">
        <v>246</v>
      </c>
      <c r="AS185" s="306" t="s">
        <v>247</v>
      </c>
      <c r="AT185" s="307" t="s">
        <v>372</v>
      </c>
      <c r="AU185" s="308" t="s">
        <v>248</v>
      </c>
      <c r="AV185" s="361" t="s">
        <v>249</v>
      </c>
      <c r="AW185" s="303" t="s">
        <v>244</v>
      </c>
      <c r="AX185" s="303" t="s">
        <v>244</v>
      </c>
      <c r="AY185" s="394" t="s">
        <v>250</v>
      </c>
      <c r="AZ185" s="394" t="s">
        <v>251</v>
      </c>
      <c r="BA185" s="394" t="s">
        <v>252</v>
      </c>
      <c r="BB185" s="394" t="s">
        <v>250</v>
      </c>
      <c r="BC185" s="394"/>
      <c r="BD185" s="394"/>
    </row>
    <row r="186" spans="1:56" ht="48" x14ac:dyDescent="0.2">
      <c r="A186" s="257">
        <v>184</v>
      </c>
      <c r="B186" s="299" t="s">
        <v>90</v>
      </c>
      <c r="C186" s="299" t="s">
        <v>78</v>
      </c>
      <c r="D186" s="299" t="s">
        <v>375</v>
      </c>
      <c r="E186" s="299"/>
      <c r="F186" s="350" t="s">
        <v>383</v>
      </c>
      <c r="G186" s="350" t="s">
        <v>374</v>
      </c>
      <c r="H186" s="45" t="s">
        <v>69</v>
      </c>
      <c r="I186" s="299"/>
      <c r="J186" s="269">
        <v>1967592.5925925926</v>
      </c>
      <c r="K186" s="300">
        <v>5.0000000000000044E-2</v>
      </c>
      <c r="L186" s="395">
        <v>2048015</v>
      </c>
      <c r="M186" s="299">
        <v>1</v>
      </c>
      <c r="N186" s="299" t="s">
        <v>686</v>
      </c>
      <c r="O186" s="250">
        <v>45339</v>
      </c>
      <c r="P186" s="316">
        <v>45472</v>
      </c>
      <c r="Q186" s="396">
        <v>10240075</v>
      </c>
      <c r="R186" s="317"/>
      <c r="S186" s="317"/>
      <c r="T186" s="396">
        <v>0</v>
      </c>
      <c r="U186" s="397">
        <v>5</v>
      </c>
      <c r="V186" s="396">
        <v>10240075</v>
      </c>
      <c r="W186" s="398">
        <v>1750000000</v>
      </c>
      <c r="X186" s="353">
        <v>-0.43899999999999995</v>
      </c>
      <c r="Y186" s="376"/>
      <c r="Z186" s="376" t="s">
        <v>376</v>
      </c>
      <c r="AA186" s="398">
        <v>981750000</v>
      </c>
      <c r="AB186" s="270" t="s">
        <v>243</v>
      </c>
      <c r="AC186" s="393" t="s">
        <v>373</v>
      </c>
      <c r="AD186" s="393" t="s">
        <v>361</v>
      </c>
      <c r="AE186" s="358" t="s">
        <v>244</v>
      </c>
      <c r="AF186" s="399" t="str">
        <f t="shared" ref="AF186:AF215" si="86">"CLE-"&amp;A186</f>
        <v>CLE-184</v>
      </c>
      <c r="AG186" s="270">
        <v>80111600</v>
      </c>
      <c r="AH186" s="310" t="s">
        <v>682</v>
      </c>
      <c r="AI186" s="301">
        <v>45327</v>
      </c>
      <c r="AJ186" s="301">
        <v>45327</v>
      </c>
      <c r="AK186" s="302">
        <v>5</v>
      </c>
      <c r="AL186" s="303" t="s">
        <v>241</v>
      </c>
      <c r="AM186" s="304" t="s">
        <v>242</v>
      </c>
      <c r="AN186" s="305">
        <v>13029965</v>
      </c>
      <c r="AO186" s="305">
        <v>13029965</v>
      </c>
      <c r="AP186" s="303" t="s">
        <v>244</v>
      </c>
      <c r="AQ186" s="303" t="s">
        <v>245</v>
      </c>
      <c r="AR186" s="360" t="s">
        <v>246</v>
      </c>
      <c r="AS186" s="306" t="s">
        <v>247</v>
      </c>
      <c r="AT186" s="307" t="s">
        <v>372</v>
      </c>
      <c r="AU186" s="308" t="s">
        <v>248</v>
      </c>
      <c r="AV186" s="361" t="s">
        <v>249</v>
      </c>
      <c r="AW186" s="303" t="s">
        <v>244</v>
      </c>
      <c r="AX186" s="303" t="s">
        <v>244</v>
      </c>
      <c r="AY186" s="394" t="s">
        <v>250</v>
      </c>
      <c r="AZ186" s="394" t="s">
        <v>251</v>
      </c>
      <c r="BA186" s="394" t="s">
        <v>252</v>
      </c>
      <c r="BB186" s="394" t="s">
        <v>250</v>
      </c>
      <c r="BC186" s="394"/>
      <c r="BD186" s="394"/>
    </row>
    <row r="187" spans="1:56" ht="48" x14ac:dyDescent="0.2">
      <c r="A187" s="257">
        <v>185</v>
      </c>
      <c r="B187" s="299" t="s">
        <v>90</v>
      </c>
      <c r="C187" s="299" t="s">
        <v>78</v>
      </c>
      <c r="D187" s="299" t="s">
        <v>375</v>
      </c>
      <c r="E187" s="299"/>
      <c r="F187" s="350" t="s">
        <v>383</v>
      </c>
      <c r="G187" s="350" t="s">
        <v>374</v>
      </c>
      <c r="H187" s="45" t="s">
        <v>69</v>
      </c>
      <c r="I187" s="299"/>
      <c r="J187" s="269">
        <v>1967592.5925925926</v>
      </c>
      <c r="K187" s="300">
        <v>5.0000000000000044E-2</v>
      </c>
      <c r="L187" s="395">
        <v>2605993</v>
      </c>
      <c r="M187" s="299">
        <v>1</v>
      </c>
      <c r="N187" s="299" t="s">
        <v>686</v>
      </c>
      <c r="O187" s="250">
        <v>45339</v>
      </c>
      <c r="P187" s="316">
        <v>45472</v>
      </c>
      <c r="Q187" s="396">
        <v>13029965</v>
      </c>
      <c r="R187" s="317"/>
      <c r="S187" s="317"/>
      <c r="T187" s="396">
        <v>0</v>
      </c>
      <c r="U187" s="397">
        <v>5</v>
      </c>
      <c r="V187" s="396">
        <v>13029965</v>
      </c>
      <c r="W187" s="398">
        <v>1750000000</v>
      </c>
      <c r="X187" s="353">
        <v>-0.43899999999999995</v>
      </c>
      <c r="Y187" s="376"/>
      <c r="Z187" s="376" t="s">
        <v>376</v>
      </c>
      <c r="AA187" s="398">
        <v>981750000</v>
      </c>
      <c r="AB187" s="270" t="s">
        <v>243</v>
      </c>
      <c r="AC187" s="393" t="s">
        <v>373</v>
      </c>
      <c r="AD187" s="393" t="s">
        <v>361</v>
      </c>
      <c r="AE187" s="358" t="s">
        <v>244</v>
      </c>
      <c r="AF187" s="399" t="str">
        <f t="shared" si="86"/>
        <v>CLE-185</v>
      </c>
      <c r="AG187" s="270">
        <v>80111600</v>
      </c>
      <c r="AH187" s="310" t="s">
        <v>682</v>
      </c>
      <c r="AI187" s="301">
        <v>45327</v>
      </c>
      <c r="AJ187" s="301">
        <v>45327</v>
      </c>
      <c r="AK187" s="302">
        <v>5</v>
      </c>
      <c r="AL187" s="303" t="s">
        <v>241</v>
      </c>
      <c r="AM187" s="304" t="s">
        <v>242</v>
      </c>
      <c r="AN187" s="305">
        <v>13029965</v>
      </c>
      <c r="AO187" s="305">
        <v>13029965</v>
      </c>
      <c r="AP187" s="303" t="s">
        <v>244</v>
      </c>
      <c r="AQ187" s="303" t="s">
        <v>245</v>
      </c>
      <c r="AR187" s="360" t="s">
        <v>246</v>
      </c>
      <c r="AS187" s="306" t="s">
        <v>247</v>
      </c>
      <c r="AT187" s="307" t="s">
        <v>372</v>
      </c>
      <c r="AU187" s="308" t="s">
        <v>248</v>
      </c>
      <c r="AV187" s="361" t="s">
        <v>249</v>
      </c>
      <c r="AW187" s="303" t="s">
        <v>244</v>
      </c>
      <c r="AX187" s="303" t="s">
        <v>244</v>
      </c>
      <c r="AY187" s="394" t="s">
        <v>250</v>
      </c>
      <c r="AZ187" s="394" t="s">
        <v>251</v>
      </c>
      <c r="BA187" s="394" t="s">
        <v>252</v>
      </c>
      <c r="BB187" s="394" t="s">
        <v>250</v>
      </c>
      <c r="BC187" s="394"/>
      <c r="BD187" s="394"/>
    </row>
    <row r="188" spans="1:56" ht="48" x14ac:dyDescent="0.2">
      <c r="A188" s="257">
        <v>186</v>
      </c>
      <c r="B188" s="299" t="s">
        <v>90</v>
      </c>
      <c r="C188" s="299" t="s">
        <v>78</v>
      </c>
      <c r="D188" s="299" t="s">
        <v>375</v>
      </c>
      <c r="E188" s="299"/>
      <c r="F188" s="350" t="s">
        <v>383</v>
      </c>
      <c r="G188" s="350" t="s">
        <v>374</v>
      </c>
      <c r="H188" s="45" t="s">
        <v>69</v>
      </c>
      <c r="I188" s="299"/>
      <c r="J188" s="269">
        <v>1967592.5925925926</v>
      </c>
      <c r="K188" s="300">
        <v>5.0000000000000044E-2</v>
      </c>
      <c r="L188" s="395">
        <v>2048015</v>
      </c>
      <c r="M188" s="299">
        <v>1</v>
      </c>
      <c r="N188" s="299" t="s">
        <v>686</v>
      </c>
      <c r="O188" s="250">
        <v>45339</v>
      </c>
      <c r="P188" s="316">
        <v>45472</v>
      </c>
      <c r="Q188" s="396">
        <v>10240075</v>
      </c>
      <c r="R188" s="317"/>
      <c r="S188" s="317"/>
      <c r="T188" s="396">
        <v>0</v>
      </c>
      <c r="U188" s="397">
        <v>5</v>
      </c>
      <c r="V188" s="396">
        <v>10240075</v>
      </c>
      <c r="W188" s="398">
        <v>1750000000</v>
      </c>
      <c r="X188" s="353">
        <v>-0.43899999999999995</v>
      </c>
      <c r="Y188" s="376"/>
      <c r="Z188" s="376" t="s">
        <v>376</v>
      </c>
      <c r="AA188" s="398">
        <v>981750000</v>
      </c>
      <c r="AB188" s="270" t="s">
        <v>243</v>
      </c>
      <c r="AC188" s="393" t="s">
        <v>373</v>
      </c>
      <c r="AD188" s="393" t="s">
        <v>361</v>
      </c>
      <c r="AE188" s="358" t="s">
        <v>244</v>
      </c>
      <c r="AF188" s="399" t="str">
        <f t="shared" si="86"/>
        <v>CLE-186</v>
      </c>
      <c r="AG188" s="270">
        <v>80111600</v>
      </c>
      <c r="AH188" s="310" t="s">
        <v>682</v>
      </c>
      <c r="AI188" s="301">
        <v>45327</v>
      </c>
      <c r="AJ188" s="301">
        <v>45327</v>
      </c>
      <c r="AK188" s="302">
        <v>5</v>
      </c>
      <c r="AL188" s="303" t="s">
        <v>241</v>
      </c>
      <c r="AM188" s="304" t="s">
        <v>242</v>
      </c>
      <c r="AN188" s="305">
        <v>10240075</v>
      </c>
      <c r="AO188" s="305">
        <v>10240075</v>
      </c>
      <c r="AP188" s="303" t="s">
        <v>244</v>
      </c>
      <c r="AQ188" s="303" t="s">
        <v>245</v>
      </c>
      <c r="AR188" s="360" t="s">
        <v>246</v>
      </c>
      <c r="AS188" s="306" t="s">
        <v>247</v>
      </c>
      <c r="AT188" s="307" t="s">
        <v>372</v>
      </c>
      <c r="AU188" s="308" t="s">
        <v>248</v>
      </c>
      <c r="AV188" s="361" t="s">
        <v>249</v>
      </c>
      <c r="AW188" s="303" t="s">
        <v>244</v>
      </c>
      <c r="AX188" s="303" t="s">
        <v>244</v>
      </c>
      <c r="AY188" s="394" t="s">
        <v>250</v>
      </c>
      <c r="AZ188" s="394" t="s">
        <v>251</v>
      </c>
      <c r="BA188" s="394" t="s">
        <v>252</v>
      </c>
      <c r="BB188" s="394" t="s">
        <v>250</v>
      </c>
      <c r="BC188" s="394"/>
      <c r="BD188" s="394"/>
    </row>
    <row r="189" spans="1:56" ht="48" x14ac:dyDescent="0.2">
      <c r="A189" s="257">
        <v>187</v>
      </c>
      <c r="B189" s="299" t="s">
        <v>90</v>
      </c>
      <c r="C189" s="299" t="s">
        <v>78</v>
      </c>
      <c r="D189" s="299" t="s">
        <v>375</v>
      </c>
      <c r="E189" s="299"/>
      <c r="F189" s="350" t="s">
        <v>383</v>
      </c>
      <c r="G189" s="350" t="s">
        <v>374</v>
      </c>
      <c r="H189" s="45" t="s">
        <v>69</v>
      </c>
      <c r="I189" s="299"/>
      <c r="J189" s="269">
        <v>1967592.5925925926</v>
      </c>
      <c r="K189" s="300">
        <v>5.0000000000000044E-2</v>
      </c>
      <c r="L189" s="395">
        <v>2048015</v>
      </c>
      <c r="M189" s="299">
        <v>1</v>
      </c>
      <c r="N189" s="299" t="s">
        <v>686</v>
      </c>
      <c r="O189" s="250">
        <v>45339</v>
      </c>
      <c r="P189" s="316">
        <v>45472</v>
      </c>
      <c r="Q189" s="396">
        <v>10240075</v>
      </c>
      <c r="R189" s="317"/>
      <c r="S189" s="317"/>
      <c r="T189" s="396">
        <v>0</v>
      </c>
      <c r="U189" s="397">
        <v>5</v>
      </c>
      <c r="V189" s="396">
        <v>10240075</v>
      </c>
      <c r="W189" s="398">
        <v>1750000000</v>
      </c>
      <c r="X189" s="353">
        <v>-0.43899999999999995</v>
      </c>
      <c r="Y189" s="376"/>
      <c r="Z189" s="376" t="s">
        <v>376</v>
      </c>
      <c r="AA189" s="398">
        <v>981750000</v>
      </c>
      <c r="AB189" s="270" t="s">
        <v>243</v>
      </c>
      <c r="AC189" s="393" t="s">
        <v>373</v>
      </c>
      <c r="AD189" s="393" t="s">
        <v>361</v>
      </c>
      <c r="AE189" s="358" t="s">
        <v>244</v>
      </c>
      <c r="AF189" s="399" t="str">
        <f t="shared" si="86"/>
        <v>CLE-187</v>
      </c>
      <c r="AG189" s="270">
        <v>80111600</v>
      </c>
      <c r="AH189" s="310" t="s">
        <v>682</v>
      </c>
      <c r="AI189" s="301">
        <v>45327</v>
      </c>
      <c r="AJ189" s="301">
        <v>45327</v>
      </c>
      <c r="AK189" s="302">
        <v>5</v>
      </c>
      <c r="AL189" s="303" t="s">
        <v>241</v>
      </c>
      <c r="AM189" s="304" t="s">
        <v>242</v>
      </c>
      <c r="AN189" s="305">
        <v>10240075</v>
      </c>
      <c r="AO189" s="305">
        <v>10240075</v>
      </c>
      <c r="AP189" s="303" t="s">
        <v>244</v>
      </c>
      <c r="AQ189" s="303" t="s">
        <v>245</v>
      </c>
      <c r="AR189" s="360" t="s">
        <v>246</v>
      </c>
      <c r="AS189" s="306" t="s">
        <v>247</v>
      </c>
      <c r="AT189" s="307" t="s">
        <v>372</v>
      </c>
      <c r="AU189" s="308" t="s">
        <v>248</v>
      </c>
      <c r="AV189" s="361" t="s">
        <v>249</v>
      </c>
      <c r="AW189" s="303" t="s">
        <v>244</v>
      </c>
      <c r="AX189" s="303" t="s">
        <v>244</v>
      </c>
      <c r="AY189" s="394" t="s">
        <v>250</v>
      </c>
      <c r="AZ189" s="394" t="s">
        <v>251</v>
      </c>
      <c r="BA189" s="394" t="s">
        <v>252</v>
      </c>
      <c r="BB189" s="394" t="s">
        <v>250</v>
      </c>
      <c r="BC189" s="394"/>
      <c r="BD189" s="394"/>
    </row>
    <row r="190" spans="1:56" ht="48" x14ac:dyDescent="0.2">
      <c r="A190" s="257">
        <v>188</v>
      </c>
      <c r="B190" s="299" t="s">
        <v>90</v>
      </c>
      <c r="C190" s="299" t="s">
        <v>78</v>
      </c>
      <c r="D190" s="299" t="s">
        <v>375</v>
      </c>
      <c r="E190" s="299"/>
      <c r="F190" s="350" t="s">
        <v>383</v>
      </c>
      <c r="G190" s="350" t="s">
        <v>374</v>
      </c>
      <c r="H190" s="45" t="s">
        <v>69</v>
      </c>
      <c r="I190" s="299"/>
      <c r="J190" s="269">
        <v>1967592.5925925926</v>
      </c>
      <c r="K190" s="300">
        <v>5.0000000000000044E-2</v>
      </c>
      <c r="L190" s="395">
        <v>2605993</v>
      </c>
      <c r="M190" s="299">
        <v>1</v>
      </c>
      <c r="N190" s="299" t="s">
        <v>686</v>
      </c>
      <c r="O190" s="250">
        <v>45339</v>
      </c>
      <c r="P190" s="316">
        <v>45472</v>
      </c>
      <c r="Q190" s="396">
        <v>13029965</v>
      </c>
      <c r="R190" s="317"/>
      <c r="S190" s="317"/>
      <c r="T190" s="396">
        <v>0</v>
      </c>
      <c r="U190" s="397">
        <v>5</v>
      </c>
      <c r="V190" s="396">
        <v>13029965</v>
      </c>
      <c r="W190" s="398">
        <v>1750000000</v>
      </c>
      <c r="X190" s="353">
        <v>-0.43899999999999995</v>
      </c>
      <c r="Y190" s="376"/>
      <c r="Z190" s="376" t="s">
        <v>376</v>
      </c>
      <c r="AA190" s="398">
        <v>981750000</v>
      </c>
      <c r="AB190" s="270" t="s">
        <v>243</v>
      </c>
      <c r="AC190" s="393" t="s">
        <v>373</v>
      </c>
      <c r="AD190" s="393" t="s">
        <v>361</v>
      </c>
      <c r="AE190" s="358" t="s">
        <v>244</v>
      </c>
      <c r="AF190" s="399" t="str">
        <f t="shared" si="86"/>
        <v>CLE-188</v>
      </c>
      <c r="AG190" s="270">
        <v>80111600</v>
      </c>
      <c r="AH190" s="310" t="s">
        <v>682</v>
      </c>
      <c r="AI190" s="301">
        <v>45327</v>
      </c>
      <c r="AJ190" s="301">
        <v>45327</v>
      </c>
      <c r="AK190" s="302">
        <v>5</v>
      </c>
      <c r="AL190" s="303" t="s">
        <v>241</v>
      </c>
      <c r="AM190" s="304" t="s">
        <v>242</v>
      </c>
      <c r="AN190" s="305">
        <v>13029965</v>
      </c>
      <c r="AO190" s="305">
        <v>13029965</v>
      </c>
      <c r="AP190" s="303" t="s">
        <v>244</v>
      </c>
      <c r="AQ190" s="303" t="s">
        <v>245</v>
      </c>
      <c r="AR190" s="360" t="s">
        <v>246</v>
      </c>
      <c r="AS190" s="306" t="s">
        <v>247</v>
      </c>
      <c r="AT190" s="307" t="s">
        <v>372</v>
      </c>
      <c r="AU190" s="308" t="s">
        <v>248</v>
      </c>
      <c r="AV190" s="361" t="s">
        <v>249</v>
      </c>
      <c r="AW190" s="303" t="s">
        <v>244</v>
      </c>
      <c r="AX190" s="303" t="s">
        <v>244</v>
      </c>
      <c r="AY190" s="394" t="s">
        <v>250</v>
      </c>
      <c r="AZ190" s="394" t="s">
        <v>251</v>
      </c>
      <c r="BA190" s="394" t="s">
        <v>252</v>
      </c>
      <c r="BB190" s="394" t="s">
        <v>250</v>
      </c>
      <c r="BC190" s="394"/>
      <c r="BD190" s="394"/>
    </row>
    <row r="191" spans="1:56" ht="48" x14ac:dyDescent="0.2">
      <c r="A191" s="257">
        <v>189</v>
      </c>
      <c r="B191" s="299" t="s">
        <v>90</v>
      </c>
      <c r="C191" s="299" t="s">
        <v>78</v>
      </c>
      <c r="D191" s="299" t="s">
        <v>375</v>
      </c>
      <c r="E191" s="299"/>
      <c r="F191" s="350" t="s">
        <v>383</v>
      </c>
      <c r="G191" s="350" t="s">
        <v>374</v>
      </c>
      <c r="H191" s="45" t="s">
        <v>69</v>
      </c>
      <c r="I191" s="299"/>
      <c r="J191" s="269">
        <v>1967592.5925925926</v>
      </c>
      <c r="K191" s="300">
        <v>5.0000000000000044E-2</v>
      </c>
      <c r="L191" s="395">
        <v>2605993</v>
      </c>
      <c r="M191" s="299">
        <v>1</v>
      </c>
      <c r="N191" s="299" t="s">
        <v>686</v>
      </c>
      <c r="O191" s="250">
        <v>45339</v>
      </c>
      <c r="P191" s="316">
        <v>45472</v>
      </c>
      <c r="Q191" s="396">
        <v>13029965</v>
      </c>
      <c r="R191" s="317"/>
      <c r="S191" s="317"/>
      <c r="T191" s="396">
        <v>0</v>
      </c>
      <c r="U191" s="397">
        <v>5</v>
      </c>
      <c r="V191" s="396">
        <v>13029965</v>
      </c>
      <c r="W191" s="398">
        <v>1750000000</v>
      </c>
      <c r="X191" s="353">
        <v>-0.43899999999999995</v>
      </c>
      <c r="Y191" s="376"/>
      <c r="Z191" s="376" t="s">
        <v>376</v>
      </c>
      <c r="AA191" s="398">
        <v>981750000</v>
      </c>
      <c r="AB191" s="270" t="s">
        <v>243</v>
      </c>
      <c r="AC191" s="393" t="s">
        <v>373</v>
      </c>
      <c r="AD191" s="393" t="s">
        <v>361</v>
      </c>
      <c r="AE191" s="358" t="s">
        <v>244</v>
      </c>
      <c r="AF191" s="399" t="str">
        <f t="shared" si="86"/>
        <v>CLE-189</v>
      </c>
      <c r="AG191" s="270">
        <v>80111600</v>
      </c>
      <c r="AH191" s="310" t="s">
        <v>682</v>
      </c>
      <c r="AI191" s="301">
        <v>45327</v>
      </c>
      <c r="AJ191" s="301">
        <v>45327</v>
      </c>
      <c r="AK191" s="302">
        <v>5</v>
      </c>
      <c r="AL191" s="303" t="s">
        <v>241</v>
      </c>
      <c r="AM191" s="304" t="s">
        <v>242</v>
      </c>
      <c r="AN191" s="305">
        <v>13029965</v>
      </c>
      <c r="AO191" s="305">
        <v>13029965</v>
      </c>
      <c r="AP191" s="303" t="s">
        <v>244</v>
      </c>
      <c r="AQ191" s="303" t="s">
        <v>245</v>
      </c>
      <c r="AR191" s="360" t="s">
        <v>246</v>
      </c>
      <c r="AS191" s="306" t="s">
        <v>247</v>
      </c>
      <c r="AT191" s="307" t="s">
        <v>372</v>
      </c>
      <c r="AU191" s="308" t="s">
        <v>248</v>
      </c>
      <c r="AV191" s="361" t="s">
        <v>249</v>
      </c>
      <c r="AW191" s="303" t="s">
        <v>244</v>
      </c>
      <c r="AX191" s="303" t="s">
        <v>244</v>
      </c>
      <c r="AY191" s="394" t="s">
        <v>250</v>
      </c>
      <c r="AZ191" s="394" t="s">
        <v>251</v>
      </c>
      <c r="BA191" s="394" t="s">
        <v>252</v>
      </c>
      <c r="BB191" s="394" t="s">
        <v>250</v>
      </c>
      <c r="BC191" s="394"/>
      <c r="BD191" s="394"/>
    </row>
    <row r="192" spans="1:56" ht="48" x14ac:dyDescent="0.2">
      <c r="A192" s="257">
        <v>190</v>
      </c>
      <c r="B192" s="299" t="s">
        <v>90</v>
      </c>
      <c r="C192" s="299" t="s">
        <v>78</v>
      </c>
      <c r="D192" s="299" t="s">
        <v>375</v>
      </c>
      <c r="E192" s="299"/>
      <c r="F192" s="350" t="s">
        <v>383</v>
      </c>
      <c r="G192" s="350" t="s">
        <v>374</v>
      </c>
      <c r="H192" s="45" t="s">
        <v>69</v>
      </c>
      <c r="I192" s="299"/>
      <c r="J192" s="269">
        <v>1967592.5925925926</v>
      </c>
      <c r="K192" s="300">
        <v>5.0000000000000044E-2</v>
      </c>
      <c r="L192" s="395">
        <v>2048015</v>
      </c>
      <c r="M192" s="299">
        <v>1</v>
      </c>
      <c r="N192" s="299" t="s">
        <v>686</v>
      </c>
      <c r="O192" s="250">
        <v>45339</v>
      </c>
      <c r="P192" s="316">
        <v>45472</v>
      </c>
      <c r="Q192" s="396">
        <v>10240075</v>
      </c>
      <c r="R192" s="317"/>
      <c r="S192" s="317"/>
      <c r="T192" s="396">
        <v>0</v>
      </c>
      <c r="U192" s="397">
        <v>5</v>
      </c>
      <c r="V192" s="396">
        <v>10240075</v>
      </c>
      <c r="W192" s="398">
        <v>1750000000</v>
      </c>
      <c r="X192" s="353">
        <v>-0.43899999999999995</v>
      </c>
      <c r="Y192" s="376"/>
      <c r="Z192" s="376" t="s">
        <v>376</v>
      </c>
      <c r="AA192" s="398">
        <v>981750000</v>
      </c>
      <c r="AB192" s="270" t="s">
        <v>243</v>
      </c>
      <c r="AC192" s="393" t="s">
        <v>373</v>
      </c>
      <c r="AD192" s="393" t="s">
        <v>361</v>
      </c>
      <c r="AE192" s="358" t="s">
        <v>244</v>
      </c>
      <c r="AF192" s="399" t="str">
        <f t="shared" si="86"/>
        <v>CLE-190</v>
      </c>
      <c r="AG192" s="270">
        <v>80111600</v>
      </c>
      <c r="AH192" s="310" t="s">
        <v>682</v>
      </c>
      <c r="AI192" s="301">
        <v>45327</v>
      </c>
      <c r="AJ192" s="301">
        <v>45327</v>
      </c>
      <c r="AK192" s="302">
        <v>5</v>
      </c>
      <c r="AL192" s="303" t="s">
        <v>241</v>
      </c>
      <c r="AM192" s="304" t="s">
        <v>242</v>
      </c>
      <c r="AN192" s="305">
        <v>10240075</v>
      </c>
      <c r="AO192" s="305">
        <v>10240075</v>
      </c>
      <c r="AP192" s="303" t="s">
        <v>244</v>
      </c>
      <c r="AQ192" s="303" t="s">
        <v>245</v>
      </c>
      <c r="AR192" s="360" t="s">
        <v>246</v>
      </c>
      <c r="AS192" s="306" t="s">
        <v>247</v>
      </c>
      <c r="AT192" s="307" t="s">
        <v>372</v>
      </c>
      <c r="AU192" s="308" t="s">
        <v>248</v>
      </c>
      <c r="AV192" s="361" t="s">
        <v>249</v>
      </c>
      <c r="AW192" s="303" t="s">
        <v>244</v>
      </c>
      <c r="AX192" s="303" t="s">
        <v>244</v>
      </c>
      <c r="AY192" s="394" t="s">
        <v>250</v>
      </c>
      <c r="AZ192" s="394" t="s">
        <v>251</v>
      </c>
      <c r="BA192" s="394" t="s">
        <v>252</v>
      </c>
      <c r="BB192" s="394" t="s">
        <v>250</v>
      </c>
      <c r="BC192" s="394"/>
      <c r="BD192" s="394"/>
    </row>
    <row r="193" spans="1:56" ht="48" x14ac:dyDescent="0.2">
      <c r="A193" s="257">
        <v>191</v>
      </c>
      <c r="B193" s="299" t="s">
        <v>90</v>
      </c>
      <c r="C193" s="299" t="s">
        <v>78</v>
      </c>
      <c r="D193" s="299" t="s">
        <v>375</v>
      </c>
      <c r="E193" s="299"/>
      <c r="F193" s="350" t="s">
        <v>383</v>
      </c>
      <c r="G193" s="350" t="s">
        <v>374</v>
      </c>
      <c r="H193" s="45" t="s">
        <v>67</v>
      </c>
      <c r="I193" s="299"/>
      <c r="J193" s="269">
        <v>1967592.5925925926</v>
      </c>
      <c r="K193" s="300">
        <v>5.0000000000000044E-2</v>
      </c>
      <c r="L193" s="395">
        <v>2048015</v>
      </c>
      <c r="M193" s="299">
        <v>1</v>
      </c>
      <c r="N193" s="299" t="s">
        <v>686</v>
      </c>
      <c r="O193" s="250">
        <v>45339</v>
      </c>
      <c r="P193" s="316">
        <v>45472</v>
      </c>
      <c r="Q193" s="396">
        <v>10240075</v>
      </c>
      <c r="R193" s="317"/>
      <c r="S193" s="317"/>
      <c r="T193" s="396">
        <v>0</v>
      </c>
      <c r="U193" s="397">
        <v>5</v>
      </c>
      <c r="V193" s="396">
        <v>10240075</v>
      </c>
      <c r="W193" s="398">
        <v>1750000000</v>
      </c>
      <c r="X193" s="353">
        <v>-0.43899999999999995</v>
      </c>
      <c r="Y193" s="376"/>
      <c r="Z193" s="376" t="s">
        <v>376</v>
      </c>
      <c r="AA193" s="398">
        <v>981750000</v>
      </c>
      <c r="AB193" s="270" t="s">
        <v>243</v>
      </c>
      <c r="AC193" s="393" t="s">
        <v>373</v>
      </c>
      <c r="AD193" s="393" t="s">
        <v>361</v>
      </c>
      <c r="AE193" s="358" t="s">
        <v>244</v>
      </c>
      <c r="AF193" s="399" t="str">
        <f t="shared" si="86"/>
        <v>CLE-191</v>
      </c>
      <c r="AG193" s="270">
        <v>80111600</v>
      </c>
      <c r="AH193" s="310" t="s">
        <v>682</v>
      </c>
      <c r="AI193" s="301">
        <v>45327</v>
      </c>
      <c r="AJ193" s="301">
        <v>45327</v>
      </c>
      <c r="AK193" s="302">
        <v>5</v>
      </c>
      <c r="AL193" s="303" t="s">
        <v>241</v>
      </c>
      <c r="AM193" s="304" t="s">
        <v>242</v>
      </c>
      <c r="AN193" s="305">
        <v>10240075</v>
      </c>
      <c r="AO193" s="305">
        <v>10240075</v>
      </c>
      <c r="AP193" s="303" t="s">
        <v>244</v>
      </c>
      <c r="AQ193" s="303" t="s">
        <v>245</v>
      </c>
      <c r="AR193" s="360" t="s">
        <v>246</v>
      </c>
      <c r="AS193" s="306" t="s">
        <v>247</v>
      </c>
      <c r="AT193" s="307" t="s">
        <v>372</v>
      </c>
      <c r="AU193" s="308" t="s">
        <v>248</v>
      </c>
      <c r="AV193" s="361" t="s">
        <v>249</v>
      </c>
      <c r="AW193" s="303" t="s">
        <v>244</v>
      </c>
      <c r="AX193" s="303" t="s">
        <v>244</v>
      </c>
      <c r="AY193" s="394" t="s">
        <v>250</v>
      </c>
      <c r="AZ193" s="394" t="s">
        <v>251</v>
      </c>
      <c r="BA193" s="394" t="s">
        <v>252</v>
      </c>
      <c r="BB193" s="394" t="s">
        <v>250</v>
      </c>
      <c r="BC193" s="394"/>
      <c r="BD193" s="394"/>
    </row>
    <row r="194" spans="1:56" ht="48" x14ac:dyDescent="0.2">
      <c r="A194" s="257">
        <v>192</v>
      </c>
      <c r="B194" s="299" t="s">
        <v>90</v>
      </c>
      <c r="C194" s="299" t="s">
        <v>78</v>
      </c>
      <c r="D194" s="299" t="s">
        <v>375</v>
      </c>
      <c r="E194" s="299"/>
      <c r="F194" s="350" t="s">
        <v>383</v>
      </c>
      <c r="G194" s="350" t="s">
        <v>374</v>
      </c>
      <c r="H194" s="45" t="s">
        <v>67</v>
      </c>
      <c r="I194" s="299"/>
      <c r="J194" s="269">
        <v>1967592.5925925926</v>
      </c>
      <c r="K194" s="300">
        <v>5.0000000000000044E-2</v>
      </c>
      <c r="L194" s="395">
        <v>4049241</v>
      </c>
      <c r="M194" s="299">
        <v>1</v>
      </c>
      <c r="N194" s="299" t="s">
        <v>686</v>
      </c>
      <c r="O194" s="250">
        <v>45339</v>
      </c>
      <c r="P194" s="316">
        <v>45472</v>
      </c>
      <c r="Q194" s="396">
        <v>20246205</v>
      </c>
      <c r="R194" s="317"/>
      <c r="S194" s="317"/>
      <c r="T194" s="396">
        <v>0</v>
      </c>
      <c r="U194" s="397">
        <v>5</v>
      </c>
      <c r="V194" s="396">
        <v>20246205</v>
      </c>
      <c r="W194" s="398">
        <v>1750000000</v>
      </c>
      <c r="X194" s="353">
        <v>-0.43899999999999995</v>
      </c>
      <c r="Y194" s="376"/>
      <c r="Z194" s="376" t="s">
        <v>376</v>
      </c>
      <c r="AA194" s="398">
        <v>981750000</v>
      </c>
      <c r="AB194" s="270" t="s">
        <v>243</v>
      </c>
      <c r="AC194" s="393" t="s">
        <v>373</v>
      </c>
      <c r="AD194" s="393" t="s">
        <v>361</v>
      </c>
      <c r="AE194" s="358" t="s">
        <v>244</v>
      </c>
      <c r="AF194" s="399" t="str">
        <f t="shared" si="86"/>
        <v>CLE-192</v>
      </c>
      <c r="AG194" s="270">
        <v>80111600</v>
      </c>
      <c r="AH194" s="310" t="s">
        <v>682</v>
      </c>
      <c r="AI194" s="301">
        <v>45327</v>
      </c>
      <c r="AJ194" s="301">
        <v>45327</v>
      </c>
      <c r="AK194" s="302">
        <v>5</v>
      </c>
      <c r="AL194" s="303" t="s">
        <v>241</v>
      </c>
      <c r="AM194" s="304" t="s">
        <v>242</v>
      </c>
      <c r="AN194" s="305">
        <v>20246205</v>
      </c>
      <c r="AO194" s="305">
        <v>20246205</v>
      </c>
      <c r="AP194" s="303" t="s">
        <v>244</v>
      </c>
      <c r="AQ194" s="303" t="s">
        <v>245</v>
      </c>
      <c r="AR194" s="360" t="s">
        <v>246</v>
      </c>
      <c r="AS194" s="306" t="s">
        <v>247</v>
      </c>
      <c r="AT194" s="307" t="s">
        <v>372</v>
      </c>
      <c r="AU194" s="308" t="s">
        <v>248</v>
      </c>
      <c r="AV194" s="361" t="s">
        <v>249</v>
      </c>
      <c r="AW194" s="303" t="s">
        <v>244</v>
      </c>
      <c r="AX194" s="303" t="s">
        <v>244</v>
      </c>
      <c r="AY194" s="394" t="s">
        <v>250</v>
      </c>
      <c r="AZ194" s="394" t="s">
        <v>251</v>
      </c>
      <c r="BA194" s="394" t="s">
        <v>252</v>
      </c>
      <c r="BB194" s="394" t="s">
        <v>250</v>
      </c>
      <c r="BC194" s="394"/>
      <c r="BD194" s="394"/>
    </row>
    <row r="195" spans="1:56" ht="48" x14ac:dyDescent="0.2">
      <c r="A195" s="257">
        <v>193</v>
      </c>
      <c r="B195" s="299" t="s">
        <v>90</v>
      </c>
      <c r="C195" s="299" t="s">
        <v>78</v>
      </c>
      <c r="D195" s="299" t="s">
        <v>375</v>
      </c>
      <c r="E195" s="299"/>
      <c r="F195" s="350" t="s">
        <v>383</v>
      </c>
      <c r="G195" s="350" t="s">
        <v>374</v>
      </c>
      <c r="H195" s="45" t="s">
        <v>67</v>
      </c>
      <c r="I195" s="299"/>
      <c r="J195" s="269">
        <v>1967592.5925925926</v>
      </c>
      <c r="K195" s="300">
        <v>5.0000000000000044E-2</v>
      </c>
      <c r="L195" s="395">
        <v>2255197</v>
      </c>
      <c r="M195" s="299">
        <v>1</v>
      </c>
      <c r="N195" s="299" t="s">
        <v>686</v>
      </c>
      <c r="O195" s="250">
        <v>45339</v>
      </c>
      <c r="P195" s="316">
        <v>45472</v>
      </c>
      <c r="Q195" s="396">
        <v>11275985</v>
      </c>
      <c r="R195" s="317"/>
      <c r="S195" s="317"/>
      <c r="T195" s="396">
        <v>0</v>
      </c>
      <c r="U195" s="397">
        <v>5</v>
      </c>
      <c r="V195" s="396">
        <v>11275985</v>
      </c>
      <c r="W195" s="398">
        <v>1750000000</v>
      </c>
      <c r="X195" s="353">
        <v>-0.43899999999999995</v>
      </c>
      <c r="Y195" s="376"/>
      <c r="Z195" s="376" t="s">
        <v>376</v>
      </c>
      <c r="AA195" s="398">
        <v>981750000</v>
      </c>
      <c r="AB195" s="270" t="s">
        <v>243</v>
      </c>
      <c r="AC195" s="393" t="s">
        <v>373</v>
      </c>
      <c r="AD195" s="393" t="s">
        <v>361</v>
      </c>
      <c r="AE195" s="358" t="s">
        <v>244</v>
      </c>
      <c r="AF195" s="399" t="str">
        <f t="shared" si="86"/>
        <v>CLE-193</v>
      </c>
      <c r="AG195" s="270">
        <v>80111600</v>
      </c>
      <c r="AH195" s="310" t="s">
        <v>682</v>
      </c>
      <c r="AI195" s="301">
        <v>45327</v>
      </c>
      <c r="AJ195" s="301">
        <v>45327</v>
      </c>
      <c r="AK195" s="302">
        <v>5</v>
      </c>
      <c r="AL195" s="303" t="s">
        <v>241</v>
      </c>
      <c r="AM195" s="304" t="s">
        <v>242</v>
      </c>
      <c r="AN195" s="305">
        <v>11275985</v>
      </c>
      <c r="AO195" s="305">
        <v>11275985</v>
      </c>
      <c r="AP195" s="303" t="s">
        <v>244</v>
      </c>
      <c r="AQ195" s="303" t="s">
        <v>245</v>
      </c>
      <c r="AR195" s="360" t="s">
        <v>246</v>
      </c>
      <c r="AS195" s="306" t="s">
        <v>247</v>
      </c>
      <c r="AT195" s="307" t="s">
        <v>372</v>
      </c>
      <c r="AU195" s="308" t="s">
        <v>248</v>
      </c>
      <c r="AV195" s="361" t="s">
        <v>249</v>
      </c>
      <c r="AW195" s="303" t="s">
        <v>244</v>
      </c>
      <c r="AX195" s="303" t="s">
        <v>244</v>
      </c>
      <c r="AY195" s="394" t="s">
        <v>250</v>
      </c>
      <c r="AZ195" s="394" t="s">
        <v>251</v>
      </c>
      <c r="BA195" s="394" t="s">
        <v>252</v>
      </c>
      <c r="BB195" s="394" t="s">
        <v>250</v>
      </c>
      <c r="BC195" s="394"/>
      <c r="BD195" s="394"/>
    </row>
    <row r="196" spans="1:56" ht="48" x14ac:dyDescent="0.2">
      <c r="A196" s="257">
        <v>194</v>
      </c>
      <c r="B196" s="299" t="s">
        <v>90</v>
      </c>
      <c r="C196" s="299" t="s">
        <v>78</v>
      </c>
      <c r="D196" s="299" t="s">
        <v>375</v>
      </c>
      <c r="E196" s="299"/>
      <c r="F196" s="350" t="s">
        <v>383</v>
      </c>
      <c r="G196" s="350" t="s">
        <v>374</v>
      </c>
      <c r="H196" s="45" t="s">
        <v>69</v>
      </c>
      <c r="I196" s="299"/>
      <c r="J196" s="269">
        <v>1967592.5925925926</v>
      </c>
      <c r="K196" s="300">
        <v>5.0000000000000044E-2</v>
      </c>
      <c r="L196" s="395">
        <v>1490036</v>
      </c>
      <c r="M196" s="299">
        <v>1</v>
      </c>
      <c r="N196" s="299" t="s">
        <v>686</v>
      </c>
      <c r="O196" s="250">
        <v>45339</v>
      </c>
      <c r="P196" s="316">
        <v>45472</v>
      </c>
      <c r="Q196" s="396">
        <v>7450180</v>
      </c>
      <c r="R196" s="317"/>
      <c r="S196" s="317"/>
      <c r="T196" s="396">
        <v>0</v>
      </c>
      <c r="U196" s="397">
        <v>5</v>
      </c>
      <c r="V196" s="396">
        <v>7450180</v>
      </c>
      <c r="W196" s="398">
        <v>1750000000</v>
      </c>
      <c r="X196" s="353">
        <v>-0.43899999999999995</v>
      </c>
      <c r="Y196" s="376"/>
      <c r="Z196" s="376" t="s">
        <v>376</v>
      </c>
      <c r="AA196" s="398">
        <v>981750000</v>
      </c>
      <c r="AB196" s="270" t="s">
        <v>243</v>
      </c>
      <c r="AC196" s="393" t="s">
        <v>373</v>
      </c>
      <c r="AD196" s="393" t="s">
        <v>361</v>
      </c>
      <c r="AE196" s="358" t="s">
        <v>244</v>
      </c>
      <c r="AF196" s="399" t="str">
        <f t="shared" si="86"/>
        <v>CLE-194</v>
      </c>
      <c r="AG196" s="270">
        <v>80111600</v>
      </c>
      <c r="AH196" s="310" t="s">
        <v>682</v>
      </c>
      <c r="AI196" s="301">
        <v>45327</v>
      </c>
      <c r="AJ196" s="301">
        <v>45327</v>
      </c>
      <c r="AK196" s="302">
        <v>5</v>
      </c>
      <c r="AL196" s="303" t="s">
        <v>241</v>
      </c>
      <c r="AM196" s="304" t="s">
        <v>242</v>
      </c>
      <c r="AN196" s="305">
        <v>7450189</v>
      </c>
      <c r="AO196" s="305">
        <v>7450189</v>
      </c>
      <c r="AP196" s="303" t="s">
        <v>244</v>
      </c>
      <c r="AQ196" s="303" t="s">
        <v>245</v>
      </c>
      <c r="AR196" s="360" t="s">
        <v>246</v>
      </c>
      <c r="AS196" s="306" t="s">
        <v>247</v>
      </c>
      <c r="AT196" s="307" t="s">
        <v>372</v>
      </c>
      <c r="AU196" s="308" t="s">
        <v>248</v>
      </c>
      <c r="AV196" s="361" t="s">
        <v>249</v>
      </c>
      <c r="AW196" s="303" t="s">
        <v>244</v>
      </c>
      <c r="AX196" s="303" t="s">
        <v>244</v>
      </c>
      <c r="AY196" s="394" t="s">
        <v>250</v>
      </c>
      <c r="AZ196" s="394" t="s">
        <v>251</v>
      </c>
      <c r="BA196" s="394" t="s">
        <v>252</v>
      </c>
      <c r="BB196" s="394" t="s">
        <v>250</v>
      </c>
      <c r="BC196" s="394"/>
      <c r="BD196" s="394"/>
    </row>
    <row r="197" spans="1:56" ht="48" x14ac:dyDescent="0.2">
      <c r="A197" s="257">
        <v>195</v>
      </c>
      <c r="B197" s="299" t="s">
        <v>90</v>
      </c>
      <c r="C197" s="299" t="s">
        <v>78</v>
      </c>
      <c r="D197" s="299" t="s">
        <v>375</v>
      </c>
      <c r="E197" s="299"/>
      <c r="F197" s="350" t="s">
        <v>383</v>
      </c>
      <c r="G197" s="350" t="s">
        <v>374</v>
      </c>
      <c r="H197" s="45" t="s">
        <v>69</v>
      </c>
      <c r="I197" s="299"/>
      <c r="J197" s="269">
        <v>1967592.5925925926</v>
      </c>
      <c r="K197" s="300">
        <v>5.0000000000000044E-2</v>
      </c>
      <c r="L197" s="395">
        <v>3163972</v>
      </c>
      <c r="M197" s="299">
        <v>1</v>
      </c>
      <c r="N197" s="299" t="s">
        <v>686</v>
      </c>
      <c r="O197" s="250">
        <v>45339</v>
      </c>
      <c r="P197" s="316">
        <v>45472</v>
      </c>
      <c r="Q197" s="396">
        <v>15819860</v>
      </c>
      <c r="R197" s="317"/>
      <c r="S197" s="317"/>
      <c r="T197" s="396">
        <v>0</v>
      </c>
      <c r="U197" s="397">
        <v>5</v>
      </c>
      <c r="V197" s="396">
        <v>15819860</v>
      </c>
      <c r="W197" s="398">
        <v>1750000000</v>
      </c>
      <c r="X197" s="353">
        <v>-0.43899999999999995</v>
      </c>
      <c r="Y197" s="376"/>
      <c r="Z197" s="376" t="s">
        <v>376</v>
      </c>
      <c r="AA197" s="398">
        <v>981750000</v>
      </c>
      <c r="AB197" s="270" t="s">
        <v>243</v>
      </c>
      <c r="AC197" s="393" t="s">
        <v>373</v>
      </c>
      <c r="AD197" s="393" t="s">
        <v>361</v>
      </c>
      <c r="AE197" s="358" t="s">
        <v>244</v>
      </c>
      <c r="AF197" s="399" t="str">
        <f t="shared" si="86"/>
        <v>CLE-195</v>
      </c>
      <c r="AG197" s="270">
        <v>80111600</v>
      </c>
      <c r="AH197" s="310" t="s">
        <v>682</v>
      </c>
      <c r="AI197" s="301">
        <v>45327</v>
      </c>
      <c r="AJ197" s="301">
        <v>45327</v>
      </c>
      <c r="AK197" s="302">
        <v>5</v>
      </c>
      <c r="AL197" s="303" t="s">
        <v>241</v>
      </c>
      <c r="AM197" s="304" t="s">
        <v>242</v>
      </c>
      <c r="AN197" s="305">
        <v>15819860</v>
      </c>
      <c r="AO197" s="305">
        <v>15819860</v>
      </c>
      <c r="AP197" s="303" t="s">
        <v>244</v>
      </c>
      <c r="AQ197" s="303" t="s">
        <v>245</v>
      </c>
      <c r="AR197" s="360" t="s">
        <v>246</v>
      </c>
      <c r="AS197" s="306" t="s">
        <v>247</v>
      </c>
      <c r="AT197" s="307" t="s">
        <v>372</v>
      </c>
      <c r="AU197" s="308" t="s">
        <v>248</v>
      </c>
      <c r="AV197" s="361" t="s">
        <v>249</v>
      </c>
      <c r="AW197" s="303" t="s">
        <v>244</v>
      </c>
      <c r="AX197" s="303" t="s">
        <v>244</v>
      </c>
      <c r="AY197" s="394" t="s">
        <v>250</v>
      </c>
      <c r="AZ197" s="394" t="s">
        <v>251</v>
      </c>
      <c r="BA197" s="394" t="s">
        <v>252</v>
      </c>
      <c r="BB197" s="394" t="s">
        <v>250</v>
      </c>
      <c r="BC197" s="394"/>
      <c r="BD197" s="394"/>
    </row>
    <row r="198" spans="1:56" ht="48" x14ac:dyDescent="0.2">
      <c r="A198" s="257">
        <v>196</v>
      </c>
      <c r="B198" s="299" t="s">
        <v>90</v>
      </c>
      <c r="C198" s="299" t="s">
        <v>78</v>
      </c>
      <c r="D198" s="299" t="s">
        <v>375</v>
      </c>
      <c r="E198" s="299"/>
      <c r="F198" s="350" t="s">
        <v>383</v>
      </c>
      <c r="G198" s="350" t="s">
        <v>374</v>
      </c>
      <c r="H198" s="45" t="s">
        <v>69</v>
      </c>
      <c r="I198" s="299"/>
      <c r="J198" s="269">
        <v>1967592.5925925926</v>
      </c>
      <c r="K198" s="300">
        <v>5.0000000000000044E-2</v>
      </c>
      <c r="L198" s="395">
        <v>2048015</v>
      </c>
      <c r="M198" s="299">
        <v>1</v>
      </c>
      <c r="N198" s="299" t="s">
        <v>686</v>
      </c>
      <c r="O198" s="250">
        <v>45339</v>
      </c>
      <c r="P198" s="316">
        <v>45472</v>
      </c>
      <c r="Q198" s="396">
        <v>10240075</v>
      </c>
      <c r="R198" s="317"/>
      <c r="S198" s="317"/>
      <c r="T198" s="396">
        <v>0</v>
      </c>
      <c r="U198" s="397">
        <v>5</v>
      </c>
      <c r="V198" s="396">
        <v>10240075</v>
      </c>
      <c r="W198" s="398">
        <v>1750000000</v>
      </c>
      <c r="X198" s="353">
        <v>-0.43899999999999995</v>
      </c>
      <c r="Y198" s="376"/>
      <c r="Z198" s="376" t="s">
        <v>376</v>
      </c>
      <c r="AA198" s="398">
        <v>981750000</v>
      </c>
      <c r="AB198" s="270" t="s">
        <v>243</v>
      </c>
      <c r="AC198" s="393" t="s">
        <v>373</v>
      </c>
      <c r="AD198" s="393" t="s">
        <v>361</v>
      </c>
      <c r="AE198" s="358" t="s">
        <v>244</v>
      </c>
      <c r="AF198" s="399" t="str">
        <f t="shared" si="86"/>
        <v>CLE-196</v>
      </c>
      <c r="AG198" s="270">
        <v>80111600</v>
      </c>
      <c r="AH198" s="310" t="s">
        <v>682</v>
      </c>
      <c r="AI198" s="301">
        <v>45327</v>
      </c>
      <c r="AJ198" s="301">
        <v>45327</v>
      </c>
      <c r="AK198" s="302">
        <v>5</v>
      </c>
      <c r="AL198" s="303" t="s">
        <v>241</v>
      </c>
      <c r="AM198" s="304" t="s">
        <v>242</v>
      </c>
      <c r="AN198" s="305">
        <v>10240075</v>
      </c>
      <c r="AO198" s="305">
        <v>10240075</v>
      </c>
      <c r="AP198" s="303" t="s">
        <v>244</v>
      </c>
      <c r="AQ198" s="303" t="s">
        <v>245</v>
      </c>
      <c r="AR198" s="360" t="s">
        <v>246</v>
      </c>
      <c r="AS198" s="306" t="s">
        <v>247</v>
      </c>
      <c r="AT198" s="307" t="s">
        <v>372</v>
      </c>
      <c r="AU198" s="308" t="s">
        <v>248</v>
      </c>
      <c r="AV198" s="361" t="s">
        <v>249</v>
      </c>
      <c r="AW198" s="303" t="s">
        <v>244</v>
      </c>
      <c r="AX198" s="303" t="s">
        <v>244</v>
      </c>
      <c r="AY198" s="394" t="s">
        <v>250</v>
      </c>
      <c r="AZ198" s="394" t="s">
        <v>251</v>
      </c>
      <c r="BA198" s="394" t="s">
        <v>252</v>
      </c>
      <c r="BB198" s="394" t="s">
        <v>250</v>
      </c>
      <c r="BC198" s="394"/>
      <c r="BD198" s="394"/>
    </row>
    <row r="199" spans="1:56" ht="48" x14ac:dyDescent="0.2">
      <c r="A199" s="257">
        <v>197</v>
      </c>
      <c r="B199" s="299" t="s">
        <v>90</v>
      </c>
      <c r="C199" s="299" t="s">
        <v>78</v>
      </c>
      <c r="D199" s="299" t="s">
        <v>375</v>
      </c>
      <c r="E199" s="299"/>
      <c r="F199" s="350" t="s">
        <v>383</v>
      </c>
      <c r="G199" s="350" t="s">
        <v>374</v>
      </c>
      <c r="H199" s="45" t="s">
        <v>69</v>
      </c>
      <c r="I199" s="299"/>
      <c r="J199" s="269">
        <v>1967592.5925925926</v>
      </c>
      <c r="K199" s="300">
        <v>5.0000000000000044E-2</v>
      </c>
      <c r="L199" s="395">
        <v>2048015</v>
      </c>
      <c r="M199" s="299">
        <v>1</v>
      </c>
      <c r="N199" s="299" t="s">
        <v>686</v>
      </c>
      <c r="O199" s="250">
        <v>45339</v>
      </c>
      <c r="P199" s="316">
        <v>45472</v>
      </c>
      <c r="Q199" s="396">
        <v>10240075</v>
      </c>
      <c r="R199" s="317"/>
      <c r="S199" s="317"/>
      <c r="T199" s="396">
        <v>0</v>
      </c>
      <c r="U199" s="397">
        <v>5</v>
      </c>
      <c r="V199" s="396">
        <v>10240075</v>
      </c>
      <c r="W199" s="398">
        <v>1750000000</v>
      </c>
      <c r="X199" s="353">
        <v>-0.43899999999999995</v>
      </c>
      <c r="Y199" s="376"/>
      <c r="Z199" s="376" t="s">
        <v>376</v>
      </c>
      <c r="AA199" s="398">
        <v>981750000</v>
      </c>
      <c r="AB199" s="270" t="s">
        <v>243</v>
      </c>
      <c r="AC199" s="393" t="s">
        <v>373</v>
      </c>
      <c r="AD199" s="393" t="s">
        <v>361</v>
      </c>
      <c r="AE199" s="358" t="s">
        <v>244</v>
      </c>
      <c r="AF199" s="399" t="str">
        <f t="shared" si="86"/>
        <v>CLE-197</v>
      </c>
      <c r="AG199" s="270">
        <v>80111600</v>
      </c>
      <c r="AH199" s="310" t="s">
        <v>682</v>
      </c>
      <c r="AI199" s="301">
        <v>45327</v>
      </c>
      <c r="AJ199" s="301">
        <v>45327</v>
      </c>
      <c r="AK199" s="302">
        <v>5</v>
      </c>
      <c r="AL199" s="303" t="s">
        <v>241</v>
      </c>
      <c r="AM199" s="304" t="s">
        <v>242</v>
      </c>
      <c r="AN199" s="305">
        <v>10240075</v>
      </c>
      <c r="AO199" s="305">
        <v>10240075</v>
      </c>
      <c r="AP199" s="303" t="s">
        <v>244</v>
      </c>
      <c r="AQ199" s="303" t="s">
        <v>245</v>
      </c>
      <c r="AR199" s="360" t="s">
        <v>246</v>
      </c>
      <c r="AS199" s="306" t="s">
        <v>247</v>
      </c>
      <c r="AT199" s="307" t="s">
        <v>372</v>
      </c>
      <c r="AU199" s="308" t="s">
        <v>248</v>
      </c>
      <c r="AV199" s="361" t="s">
        <v>249</v>
      </c>
      <c r="AW199" s="303" t="s">
        <v>244</v>
      </c>
      <c r="AX199" s="303" t="s">
        <v>244</v>
      </c>
      <c r="AY199" s="394" t="s">
        <v>250</v>
      </c>
      <c r="AZ199" s="394" t="s">
        <v>251</v>
      </c>
      <c r="BA199" s="394" t="s">
        <v>252</v>
      </c>
      <c r="BB199" s="394" t="s">
        <v>250</v>
      </c>
      <c r="BC199" s="394"/>
      <c r="BD199" s="394"/>
    </row>
    <row r="200" spans="1:56" ht="48" x14ac:dyDescent="0.2">
      <c r="A200" s="257">
        <v>198</v>
      </c>
      <c r="B200" s="299" t="s">
        <v>90</v>
      </c>
      <c r="C200" s="299" t="s">
        <v>78</v>
      </c>
      <c r="D200" s="299" t="s">
        <v>375</v>
      </c>
      <c r="E200" s="299"/>
      <c r="F200" s="350" t="s">
        <v>383</v>
      </c>
      <c r="G200" s="350" t="s">
        <v>374</v>
      </c>
      <c r="H200" s="45" t="s">
        <v>69</v>
      </c>
      <c r="I200" s="299"/>
      <c r="J200" s="269">
        <v>1967592.5925925926</v>
      </c>
      <c r="K200" s="300">
        <v>5.0000000000000044E-2</v>
      </c>
      <c r="L200" s="395">
        <v>2048015</v>
      </c>
      <c r="M200" s="299">
        <v>1</v>
      </c>
      <c r="N200" s="299" t="s">
        <v>686</v>
      </c>
      <c r="O200" s="250">
        <v>45339</v>
      </c>
      <c r="P200" s="316">
        <v>45472</v>
      </c>
      <c r="Q200" s="396">
        <v>10240075</v>
      </c>
      <c r="R200" s="317"/>
      <c r="S200" s="317"/>
      <c r="T200" s="396">
        <v>0</v>
      </c>
      <c r="U200" s="397">
        <v>5</v>
      </c>
      <c r="V200" s="396">
        <v>10240075</v>
      </c>
      <c r="W200" s="398">
        <v>1750000000</v>
      </c>
      <c r="X200" s="353">
        <v>-0.43899999999999995</v>
      </c>
      <c r="Y200" s="376"/>
      <c r="Z200" s="376" t="s">
        <v>376</v>
      </c>
      <c r="AA200" s="398">
        <v>981750000</v>
      </c>
      <c r="AB200" s="270" t="s">
        <v>243</v>
      </c>
      <c r="AC200" s="393" t="s">
        <v>373</v>
      </c>
      <c r="AD200" s="393" t="s">
        <v>361</v>
      </c>
      <c r="AE200" s="358" t="s">
        <v>244</v>
      </c>
      <c r="AF200" s="399" t="str">
        <f t="shared" si="86"/>
        <v>CLE-198</v>
      </c>
      <c r="AG200" s="270">
        <v>80111600</v>
      </c>
      <c r="AH200" s="310" t="s">
        <v>682</v>
      </c>
      <c r="AI200" s="301">
        <v>45327</v>
      </c>
      <c r="AJ200" s="301">
        <v>45327</v>
      </c>
      <c r="AK200" s="302">
        <v>5</v>
      </c>
      <c r="AL200" s="303" t="s">
        <v>241</v>
      </c>
      <c r="AM200" s="304" t="s">
        <v>242</v>
      </c>
      <c r="AN200" s="305">
        <v>10240075</v>
      </c>
      <c r="AO200" s="305">
        <v>10240075</v>
      </c>
      <c r="AP200" s="303" t="s">
        <v>244</v>
      </c>
      <c r="AQ200" s="303" t="s">
        <v>245</v>
      </c>
      <c r="AR200" s="360" t="s">
        <v>246</v>
      </c>
      <c r="AS200" s="306" t="s">
        <v>247</v>
      </c>
      <c r="AT200" s="307" t="s">
        <v>372</v>
      </c>
      <c r="AU200" s="308" t="s">
        <v>248</v>
      </c>
      <c r="AV200" s="361" t="s">
        <v>249</v>
      </c>
      <c r="AW200" s="303" t="s">
        <v>244</v>
      </c>
      <c r="AX200" s="303" t="s">
        <v>244</v>
      </c>
      <c r="AY200" s="394" t="s">
        <v>250</v>
      </c>
      <c r="AZ200" s="394" t="s">
        <v>251</v>
      </c>
      <c r="BA200" s="394" t="s">
        <v>252</v>
      </c>
      <c r="BB200" s="394" t="s">
        <v>250</v>
      </c>
      <c r="BC200" s="394"/>
      <c r="BD200" s="394"/>
    </row>
    <row r="201" spans="1:56" ht="48" x14ac:dyDescent="0.2">
      <c r="A201" s="257">
        <v>199</v>
      </c>
      <c r="B201" s="299" t="s">
        <v>90</v>
      </c>
      <c r="C201" s="299" t="s">
        <v>78</v>
      </c>
      <c r="D201" s="299" t="s">
        <v>375</v>
      </c>
      <c r="E201" s="299"/>
      <c r="F201" s="350" t="s">
        <v>383</v>
      </c>
      <c r="G201" s="350" t="s">
        <v>374</v>
      </c>
      <c r="H201" s="45" t="s">
        <v>69</v>
      </c>
      <c r="I201" s="299"/>
      <c r="J201" s="269">
        <v>1967592.5925925926</v>
      </c>
      <c r="K201" s="300">
        <v>5.0000000000000044E-2</v>
      </c>
      <c r="L201" s="395">
        <v>2048015</v>
      </c>
      <c r="M201" s="299">
        <v>1</v>
      </c>
      <c r="N201" s="299" t="s">
        <v>686</v>
      </c>
      <c r="O201" s="250">
        <v>45339</v>
      </c>
      <c r="P201" s="316">
        <v>45472</v>
      </c>
      <c r="Q201" s="396">
        <v>10240075</v>
      </c>
      <c r="R201" s="317"/>
      <c r="S201" s="317"/>
      <c r="T201" s="396">
        <v>0</v>
      </c>
      <c r="U201" s="397">
        <v>5</v>
      </c>
      <c r="V201" s="396">
        <v>10240075</v>
      </c>
      <c r="W201" s="398">
        <v>1750000000</v>
      </c>
      <c r="X201" s="353">
        <v>-0.43899999999999995</v>
      </c>
      <c r="Y201" s="376"/>
      <c r="Z201" s="376" t="s">
        <v>376</v>
      </c>
      <c r="AA201" s="398">
        <v>981750000</v>
      </c>
      <c r="AB201" s="270" t="s">
        <v>243</v>
      </c>
      <c r="AC201" s="393" t="s">
        <v>373</v>
      </c>
      <c r="AD201" s="393" t="s">
        <v>361</v>
      </c>
      <c r="AE201" s="358" t="s">
        <v>244</v>
      </c>
      <c r="AF201" s="399" t="str">
        <f t="shared" si="86"/>
        <v>CLE-199</v>
      </c>
      <c r="AG201" s="270">
        <v>80111600</v>
      </c>
      <c r="AH201" s="310" t="s">
        <v>682</v>
      </c>
      <c r="AI201" s="301">
        <v>45327</v>
      </c>
      <c r="AJ201" s="301">
        <v>45327</v>
      </c>
      <c r="AK201" s="302">
        <v>5</v>
      </c>
      <c r="AL201" s="303" t="s">
        <v>241</v>
      </c>
      <c r="AM201" s="304" t="s">
        <v>242</v>
      </c>
      <c r="AN201" s="305">
        <v>10240075</v>
      </c>
      <c r="AO201" s="305">
        <v>10240075</v>
      </c>
      <c r="AP201" s="303" t="s">
        <v>244</v>
      </c>
      <c r="AQ201" s="303" t="s">
        <v>245</v>
      </c>
      <c r="AR201" s="360" t="s">
        <v>246</v>
      </c>
      <c r="AS201" s="306" t="s">
        <v>247</v>
      </c>
      <c r="AT201" s="307" t="s">
        <v>372</v>
      </c>
      <c r="AU201" s="308" t="s">
        <v>248</v>
      </c>
      <c r="AV201" s="361" t="s">
        <v>249</v>
      </c>
      <c r="AW201" s="303" t="s">
        <v>244</v>
      </c>
      <c r="AX201" s="303" t="s">
        <v>244</v>
      </c>
      <c r="AY201" s="394" t="s">
        <v>250</v>
      </c>
      <c r="AZ201" s="394" t="s">
        <v>251</v>
      </c>
      <c r="BA201" s="394" t="s">
        <v>252</v>
      </c>
      <c r="BB201" s="394" t="s">
        <v>250</v>
      </c>
      <c r="BC201" s="394"/>
      <c r="BD201" s="394"/>
    </row>
    <row r="202" spans="1:56" ht="48" x14ac:dyDescent="0.2">
      <c r="A202" s="257">
        <v>200</v>
      </c>
      <c r="B202" s="299" t="s">
        <v>90</v>
      </c>
      <c r="C202" s="299" t="s">
        <v>78</v>
      </c>
      <c r="D202" s="299" t="s">
        <v>375</v>
      </c>
      <c r="E202" s="299"/>
      <c r="F202" s="350" t="s">
        <v>383</v>
      </c>
      <c r="G202" s="350" t="s">
        <v>374</v>
      </c>
      <c r="H202" s="45" t="s">
        <v>67</v>
      </c>
      <c r="I202" s="299"/>
      <c r="J202" s="269">
        <v>1967592.5925925926</v>
      </c>
      <c r="K202" s="300">
        <v>5.0000000000000044E-2</v>
      </c>
      <c r="L202" s="395">
        <v>3240544</v>
      </c>
      <c r="M202" s="299">
        <v>1</v>
      </c>
      <c r="N202" s="299" t="s">
        <v>686</v>
      </c>
      <c r="O202" s="250">
        <v>45339</v>
      </c>
      <c r="P202" s="316">
        <v>45472</v>
      </c>
      <c r="Q202" s="396">
        <v>16202720</v>
      </c>
      <c r="R202" s="317"/>
      <c r="S202" s="317"/>
      <c r="T202" s="396">
        <v>0</v>
      </c>
      <c r="U202" s="397">
        <v>5</v>
      </c>
      <c r="V202" s="396">
        <v>16202720</v>
      </c>
      <c r="W202" s="398">
        <v>1750000000</v>
      </c>
      <c r="X202" s="353">
        <v>-0.43899999999999995</v>
      </c>
      <c r="Y202" s="376"/>
      <c r="Z202" s="376" t="s">
        <v>376</v>
      </c>
      <c r="AA202" s="398">
        <v>981750000</v>
      </c>
      <c r="AB202" s="270" t="s">
        <v>243</v>
      </c>
      <c r="AC202" s="393" t="s">
        <v>373</v>
      </c>
      <c r="AD202" s="393" t="s">
        <v>361</v>
      </c>
      <c r="AE202" s="358" t="s">
        <v>244</v>
      </c>
      <c r="AF202" s="399" t="str">
        <f t="shared" si="86"/>
        <v>CLE-200</v>
      </c>
      <c r="AG202" s="270">
        <v>80111600</v>
      </c>
      <c r="AH202" s="310" t="s">
        <v>682</v>
      </c>
      <c r="AI202" s="301">
        <v>45327</v>
      </c>
      <c r="AJ202" s="301">
        <v>45327</v>
      </c>
      <c r="AK202" s="302">
        <v>5</v>
      </c>
      <c r="AL202" s="303" t="s">
        <v>241</v>
      </c>
      <c r="AM202" s="304" t="s">
        <v>242</v>
      </c>
      <c r="AN202" s="305">
        <v>16202720</v>
      </c>
      <c r="AO202" s="305">
        <v>16202720</v>
      </c>
      <c r="AP202" s="303" t="s">
        <v>244</v>
      </c>
      <c r="AQ202" s="303" t="s">
        <v>245</v>
      </c>
      <c r="AR202" s="360" t="s">
        <v>246</v>
      </c>
      <c r="AS202" s="306" t="s">
        <v>247</v>
      </c>
      <c r="AT202" s="307" t="s">
        <v>372</v>
      </c>
      <c r="AU202" s="308" t="s">
        <v>248</v>
      </c>
      <c r="AV202" s="361" t="s">
        <v>249</v>
      </c>
      <c r="AW202" s="303" t="s">
        <v>244</v>
      </c>
      <c r="AX202" s="303" t="s">
        <v>244</v>
      </c>
      <c r="AY202" s="394" t="s">
        <v>250</v>
      </c>
      <c r="AZ202" s="394" t="s">
        <v>251</v>
      </c>
      <c r="BA202" s="394" t="s">
        <v>252</v>
      </c>
      <c r="BB202" s="394" t="s">
        <v>250</v>
      </c>
      <c r="BC202" s="394"/>
      <c r="BD202" s="394"/>
    </row>
    <row r="203" spans="1:56" ht="48" x14ac:dyDescent="0.2">
      <c r="A203" s="257">
        <v>201</v>
      </c>
      <c r="B203" s="299" t="s">
        <v>90</v>
      </c>
      <c r="C203" s="299" t="s">
        <v>78</v>
      </c>
      <c r="D203" s="299" t="s">
        <v>375</v>
      </c>
      <c r="E203" s="299"/>
      <c r="F203" s="350" t="s">
        <v>383</v>
      </c>
      <c r="G203" s="350" t="s">
        <v>374</v>
      </c>
      <c r="H203" s="45" t="s">
        <v>67</v>
      </c>
      <c r="I203" s="299"/>
      <c r="J203" s="269">
        <v>1967592.5925925926</v>
      </c>
      <c r="K203" s="300">
        <v>5.0000000000000044E-2</v>
      </c>
      <c r="L203" s="395">
        <v>3240544</v>
      </c>
      <c r="M203" s="299">
        <v>1</v>
      </c>
      <c r="N203" s="299" t="s">
        <v>686</v>
      </c>
      <c r="O203" s="250">
        <v>45339</v>
      </c>
      <c r="P203" s="316">
        <v>45472</v>
      </c>
      <c r="Q203" s="396">
        <v>16202720</v>
      </c>
      <c r="R203" s="317"/>
      <c r="S203" s="317"/>
      <c r="T203" s="396">
        <v>0</v>
      </c>
      <c r="U203" s="397">
        <v>5</v>
      </c>
      <c r="V203" s="396">
        <v>16202720</v>
      </c>
      <c r="W203" s="398">
        <v>1750000000</v>
      </c>
      <c r="X203" s="353">
        <v>-0.43899999999999995</v>
      </c>
      <c r="Y203" s="376"/>
      <c r="Z203" s="376" t="s">
        <v>376</v>
      </c>
      <c r="AA203" s="398">
        <v>981750000</v>
      </c>
      <c r="AB203" s="270" t="s">
        <v>243</v>
      </c>
      <c r="AC203" s="393" t="s">
        <v>373</v>
      </c>
      <c r="AD203" s="393" t="s">
        <v>361</v>
      </c>
      <c r="AE203" s="358" t="s">
        <v>244</v>
      </c>
      <c r="AF203" s="399" t="str">
        <f t="shared" si="86"/>
        <v>CLE-201</v>
      </c>
      <c r="AG203" s="270">
        <v>80111600</v>
      </c>
      <c r="AH203" s="310" t="s">
        <v>682</v>
      </c>
      <c r="AI203" s="301">
        <v>45327</v>
      </c>
      <c r="AJ203" s="301">
        <v>45327</v>
      </c>
      <c r="AK203" s="302">
        <v>5</v>
      </c>
      <c r="AL203" s="303" t="s">
        <v>241</v>
      </c>
      <c r="AM203" s="304" t="s">
        <v>242</v>
      </c>
      <c r="AN203" s="305">
        <v>16202720</v>
      </c>
      <c r="AO203" s="305">
        <v>16202720</v>
      </c>
      <c r="AP203" s="303" t="s">
        <v>244</v>
      </c>
      <c r="AQ203" s="303" t="s">
        <v>245</v>
      </c>
      <c r="AR203" s="360" t="s">
        <v>246</v>
      </c>
      <c r="AS203" s="306" t="s">
        <v>247</v>
      </c>
      <c r="AT203" s="307" t="s">
        <v>372</v>
      </c>
      <c r="AU203" s="308" t="s">
        <v>248</v>
      </c>
      <c r="AV203" s="361" t="s">
        <v>249</v>
      </c>
      <c r="AW203" s="303" t="s">
        <v>244</v>
      </c>
      <c r="AX203" s="303" t="s">
        <v>244</v>
      </c>
      <c r="AY203" s="394" t="s">
        <v>250</v>
      </c>
      <c r="AZ203" s="394" t="s">
        <v>251</v>
      </c>
      <c r="BA203" s="394" t="s">
        <v>252</v>
      </c>
      <c r="BB203" s="394" t="s">
        <v>250</v>
      </c>
      <c r="BC203" s="394"/>
      <c r="BD203" s="394"/>
    </row>
    <row r="204" spans="1:56" ht="48" x14ac:dyDescent="0.2">
      <c r="A204" s="257">
        <v>202</v>
      </c>
      <c r="B204" s="299" t="s">
        <v>90</v>
      </c>
      <c r="C204" s="299" t="s">
        <v>78</v>
      </c>
      <c r="D204" s="299" t="s">
        <v>375</v>
      </c>
      <c r="E204" s="299"/>
      <c r="F204" s="350" t="s">
        <v>383</v>
      </c>
      <c r="G204" s="350" t="s">
        <v>374</v>
      </c>
      <c r="H204" s="45" t="s">
        <v>69</v>
      </c>
      <c r="I204" s="299"/>
      <c r="J204" s="269">
        <v>1967592.5925925926</v>
      </c>
      <c r="K204" s="300">
        <v>5.0000000000000044E-2</v>
      </c>
      <c r="L204" s="395">
        <v>4729247</v>
      </c>
      <c r="M204" s="299">
        <v>1</v>
      </c>
      <c r="N204" s="299" t="s">
        <v>686</v>
      </c>
      <c r="O204" s="250">
        <v>45339</v>
      </c>
      <c r="P204" s="316">
        <v>45472</v>
      </c>
      <c r="Q204" s="396">
        <v>23646235</v>
      </c>
      <c r="R204" s="317"/>
      <c r="S204" s="317"/>
      <c r="T204" s="396">
        <v>0</v>
      </c>
      <c r="U204" s="397">
        <v>5</v>
      </c>
      <c r="V204" s="396">
        <v>23646235</v>
      </c>
      <c r="W204" s="398">
        <v>1750000000</v>
      </c>
      <c r="X204" s="353">
        <v>-0.43899999999999995</v>
      </c>
      <c r="Y204" s="376"/>
      <c r="Z204" s="376" t="s">
        <v>376</v>
      </c>
      <c r="AA204" s="398">
        <v>981750000</v>
      </c>
      <c r="AB204" s="270" t="s">
        <v>243</v>
      </c>
      <c r="AC204" s="393" t="s">
        <v>373</v>
      </c>
      <c r="AD204" s="393" t="s">
        <v>361</v>
      </c>
      <c r="AE204" s="358" t="s">
        <v>244</v>
      </c>
      <c r="AF204" s="399" t="str">
        <f t="shared" si="86"/>
        <v>CLE-202</v>
      </c>
      <c r="AG204" s="270">
        <v>80111600</v>
      </c>
      <c r="AH204" s="310" t="s">
        <v>682</v>
      </c>
      <c r="AI204" s="301">
        <v>45327</v>
      </c>
      <c r="AJ204" s="301">
        <v>45327</v>
      </c>
      <c r="AK204" s="302">
        <v>5</v>
      </c>
      <c r="AL204" s="303" t="s">
        <v>241</v>
      </c>
      <c r="AM204" s="304" t="s">
        <v>242</v>
      </c>
      <c r="AN204" s="305">
        <v>23646235</v>
      </c>
      <c r="AO204" s="305">
        <v>23646235</v>
      </c>
      <c r="AP204" s="303" t="s">
        <v>244</v>
      </c>
      <c r="AQ204" s="303" t="s">
        <v>245</v>
      </c>
      <c r="AR204" s="360" t="s">
        <v>246</v>
      </c>
      <c r="AS204" s="306" t="s">
        <v>247</v>
      </c>
      <c r="AT204" s="307" t="s">
        <v>372</v>
      </c>
      <c r="AU204" s="308" t="s">
        <v>248</v>
      </c>
      <c r="AV204" s="361" t="s">
        <v>249</v>
      </c>
      <c r="AW204" s="303" t="s">
        <v>244</v>
      </c>
      <c r="AX204" s="303" t="s">
        <v>244</v>
      </c>
      <c r="AY204" s="394" t="s">
        <v>250</v>
      </c>
      <c r="AZ204" s="394" t="s">
        <v>251</v>
      </c>
      <c r="BA204" s="394" t="s">
        <v>252</v>
      </c>
      <c r="BB204" s="394" t="s">
        <v>250</v>
      </c>
      <c r="BC204" s="394"/>
      <c r="BD204" s="394"/>
    </row>
    <row r="205" spans="1:56" ht="48" x14ac:dyDescent="0.2">
      <c r="A205" s="257">
        <v>203</v>
      </c>
      <c r="B205" s="299" t="s">
        <v>90</v>
      </c>
      <c r="C205" s="299" t="s">
        <v>78</v>
      </c>
      <c r="D205" s="299" t="s">
        <v>375</v>
      </c>
      <c r="E205" s="299"/>
      <c r="F205" s="350" t="s">
        <v>383</v>
      </c>
      <c r="G205" s="350" t="s">
        <v>374</v>
      </c>
      <c r="H205" s="45" t="s">
        <v>67</v>
      </c>
      <c r="I205" s="299"/>
      <c r="J205" s="269">
        <v>1967592.5925925926</v>
      </c>
      <c r="K205" s="300">
        <v>5.0000000000000044E-2</v>
      </c>
      <c r="L205" s="395">
        <v>3240544</v>
      </c>
      <c r="M205" s="299">
        <v>1</v>
      </c>
      <c r="N205" s="299" t="s">
        <v>686</v>
      </c>
      <c r="O205" s="250">
        <v>45339</v>
      </c>
      <c r="P205" s="316">
        <v>45472</v>
      </c>
      <c r="Q205" s="396">
        <v>16202720</v>
      </c>
      <c r="R205" s="317"/>
      <c r="S205" s="317"/>
      <c r="T205" s="396">
        <v>0</v>
      </c>
      <c r="U205" s="397">
        <v>5</v>
      </c>
      <c r="V205" s="396">
        <v>16202720</v>
      </c>
      <c r="W205" s="398">
        <v>1750000000</v>
      </c>
      <c r="X205" s="353">
        <v>-0.43899999999999995</v>
      </c>
      <c r="Y205" s="376"/>
      <c r="Z205" s="376" t="s">
        <v>376</v>
      </c>
      <c r="AA205" s="398">
        <v>981750000</v>
      </c>
      <c r="AB205" s="270" t="s">
        <v>243</v>
      </c>
      <c r="AC205" s="393" t="s">
        <v>373</v>
      </c>
      <c r="AD205" s="393" t="s">
        <v>361</v>
      </c>
      <c r="AE205" s="358" t="s">
        <v>244</v>
      </c>
      <c r="AF205" s="399" t="str">
        <f t="shared" si="86"/>
        <v>CLE-203</v>
      </c>
      <c r="AG205" s="270">
        <v>80111600</v>
      </c>
      <c r="AH205" s="310" t="s">
        <v>682</v>
      </c>
      <c r="AI205" s="301">
        <v>45327</v>
      </c>
      <c r="AJ205" s="301">
        <v>45327</v>
      </c>
      <c r="AK205" s="302">
        <v>5</v>
      </c>
      <c r="AL205" s="303" t="s">
        <v>241</v>
      </c>
      <c r="AM205" s="304" t="s">
        <v>242</v>
      </c>
      <c r="AN205" s="305">
        <v>16202720</v>
      </c>
      <c r="AO205" s="305">
        <v>16202720</v>
      </c>
      <c r="AP205" s="303" t="s">
        <v>244</v>
      </c>
      <c r="AQ205" s="303" t="s">
        <v>245</v>
      </c>
      <c r="AR205" s="360" t="s">
        <v>246</v>
      </c>
      <c r="AS205" s="306" t="s">
        <v>247</v>
      </c>
      <c r="AT205" s="307" t="s">
        <v>372</v>
      </c>
      <c r="AU205" s="308" t="s">
        <v>248</v>
      </c>
      <c r="AV205" s="361" t="s">
        <v>249</v>
      </c>
      <c r="AW205" s="303" t="s">
        <v>244</v>
      </c>
      <c r="AX205" s="303" t="s">
        <v>244</v>
      </c>
      <c r="AY205" s="394" t="s">
        <v>250</v>
      </c>
      <c r="AZ205" s="394" t="s">
        <v>251</v>
      </c>
      <c r="BA205" s="394" t="s">
        <v>252</v>
      </c>
      <c r="BB205" s="394" t="s">
        <v>250</v>
      </c>
      <c r="BC205" s="394"/>
      <c r="BD205" s="394"/>
    </row>
    <row r="206" spans="1:56" ht="48" x14ac:dyDescent="0.2">
      <c r="A206" s="257">
        <v>204</v>
      </c>
      <c r="B206" s="299" t="s">
        <v>90</v>
      </c>
      <c r="C206" s="299" t="s">
        <v>78</v>
      </c>
      <c r="D206" s="299" t="s">
        <v>375</v>
      </c>
      <c r="E206" s="299"/>
      <c r="F206" s="350" t="s">
        <v>383</v>
      </c>
      <c r="G206" s="350" t="s">
        <v>374</v>
      </c>
      <c r="H206" s="45" t="s">
        <v>69</v>
      </c>
      <c r="I206" s="299"/>
      <c r="J206" s="269">
        <v>1967592.5925925926</v>
      </c>
      <c r="K206" s="300">
        <v>5.0000000000000044E-2</v>
      </c>
      <c r="L206" s="395">
        <v>2048015</v>
      </c>
      <c r="M206" s="299">
        <v>1</v>
      </c>
      <c r="N206" s="299" t="s">
        <v>686</v>
      </c>
      <c r="O206" s="250">
        <v>45339</v>
      </c>
      <c r="P206" s="316">
        <v>45472</v>
      </c>
      <c r="Q206" s="396">
        <v>10240075</v>
      </c>
      <c r="R206" s="317"/>
      <c r="S206" s="317"/>
      <c r="T206" s="396">
        <v>0</v>
      </c>
      <c r="U206" s="397">
        <v>5</v>
      </c>
      <c r="V206" s="396">
        <v>10240075</v>
      </c>
      <c r="W206" s="398">
        <v>1750000000</v>
      </c>
      <c r="X206" s="353">
        <v>-0.43899999999999995</v>
      </c>
      <c r="Y206" s="376"/>
      <c r="Z206" s="376" t="s">
        <v>376</v>
      </c>
      <c r="AA206" s="398">
        <v>981750000</v>
      </c>
      <c r="AB206" s="270" t="s">
        <v>243</v>
      </c>
      <c r="AC206" s="393" t="s">
        <v>373</v>
      </c>
      <c r="AD206" s="393" t="s">
        <v>361</v>
      </c>
      <c r="AE206" s="358" t="s">
        <v>244</v>
      </c>
      <c r="AF206" s="399" t="str">
        <f t="shared" si="86"/>
        <v>CLE-204</v>
      </c>
      <c r="AG206" s="270">
        <v>80111600</v>
      </c>
      <c r="AH206" s="310" t="s">
        <v>682</v>
      </c>
      <c r="AI206" s="301">
        <v>45327</v>
      </c>
      <c r="AJ206" s="301">
        <v>45327</v>
      </c>
      <c r="AK206" s="302">
        <v>5</v>
      </c>
      <c r="AL206" s="303" t="s">
        <v>241</v>
      </c>
      <c r="AM206" s="304" t="s">
        <v>242</v>
      </c>
      <c r="AN206" s="305">
        <v>10240075</v>
      </c>
      <c r="AO206" s="305">
        <v>10240075</v>
      </c>
      <c r="AP206" s="303" t="s">
        <v>244</v>
      </c>
      <c r="AQ206" s="303" t="s">
        <v>245</v>
      </c>
      <c r="AR206" s="360" t="s">
        <v>246</v>
      </c>
      <c r="AS206" s="306" t="s">
        <v>247</v>
      </c>
      <c r="AT206" s="307" t="s">
        <v>372</v>
      </c>
      <c r="AU206" s="308" t="s">
        <v>248</v>
      </c>
      <c r="AV206" s="361" t="s">
        <v>249</v>
      </c>
      <c r="AW206" s="303" t="s">
        <v>244</v>
      </c>
      <c r="AX206" s="303" t="s">
        <v>244</v>
      </c>
      <c r="AY206" s="394" t="s">
        <v>250</v>
      </c>
      <c r="AZ206" s="394" t="s">
        <v>251</v>
      </c>
      <c r="BA206" s="394" t="s">
        <v>252</v>
      </c>
      <c r="BB206" s="394" t="s">
        <v>250</v>
      </c>
      <c r="BC206" s="394"/>
      <c r="BD206" s="394"/>
    </row>
    <row r="207" spans="1:56" ht="48" x14ac:dyDescent="0.2">
      <c r="A207" s="257">
        <v>205</v>
      </c>
      <c r="B207" s="299" t="s">
        <v>90</v>
      </c>
      <c r="C207" s="299" t="s">
        <v>78</v>
      </c>
      <c r="D207" s="299" t="s">
        <v>375</v>
      </c>
      <c r="E207" s="299"/>
      <c r="F207" s="350" t="s">
        <v>383</v>
      </c>
      <c r="G207" s="350" t="s">
        <v>374</v>
      </c>
      <c r="H207" s="45" t="s">
        <v>69</v>
      </c>
      <c r="I207" s="299"/>
      <c r="J207" s="269">
        <v>1967592.5925925926</v>
      </c>
      <c r="K207" s="300">
        <v>5.0000000000000044E-2</v>
      </c>
      <c r="L207" s="395">
        <v>3547037</v>
      </c>
      <c r="M207" s="299">
        <v>1</v>
      </c>
      <c r="N207" s="299" t="s">
        <v>686</v>
      </c>
      <c r="O207" s="250">
        <v>45339</v>
      </c>
      <c r="P207" s="316">
        <v>45472</v>
      </c>
      <c r="Q207" s="396">
        <v>17735185</v>
      </c>
      <c r="R207" s="317"/>
      <c r="S207" s="317"/>
      <c r="T207" s="396">
        <v>0</v>
      </c>
      <c r="U207" s="397">
        <v>5</v>
      </c>
      <c r="V207" s="396">
        <v>17735185</v>
      </c>
      <c r="W207" s="398">
        <v>1750000000</v>
      </c>
      <c r="X207" s="353">
        <v>-0.43899999999999995</v>
      </c>
      <c r="Y207" s="376"/>
      <c r="Z207" s="376" t="s">
        <v>376</v>
      </c>
      <c r="AA207" s="398">
        <v>981750000</v>
      </c>
      <c r="AB207" s="270" t="s">
        <v>243</v>
      </c>
      <c r="AC207" s="393" t="s">
        <v>373</v>
      </c>
      <c r="AD207" s="393" t="s">
        <v>361</v>
      </c>
      <c r="AE207" s="358" t="s">
        <v>244</v>
      </c>
      <c r="AF207" s="399" t="str">
        <f t="shared" si="86"/>
        <v>CLE-205</v>
      </c>
      <c r="AG207" s="270">
        <v>80111600</v>
      </c>
      <c r="AH207" s="310" t="s">
        <v>682</v>
      </c>
      <c r="AI207" s="301">
        <v>45327</v>
      </c>
      <c r="AJ207" s="301">
        <v>45327</v>
      </c>
      <c r="AK207" s="302">
        <v>5</v>
      </c>
      <c r="AL207" s="303" t="s">
        <v>241</v>
      </c>
      <c r="AM207" s="304" t="s">
        <v>242</v>
      </c>
      <c r="AN207" s="305">
        <v>17735185</v>
      </c>
      <c r="AO207" s="305">
        <v>17735185</v>
      </c>
      <c r="AP207" s="303" t="s">
        <v>244</v>
      </c>
      <c r="AQ207" s="303" t="s">
        <v>245</v>
      </c>
      <c r="AR207" s="360" t="s">
        <v>246</v>
      </c>
      <c r="AS207" s="306" t="s">
        <v>247</v>
      </c>
      <c r="AT207" s="307" t="s">
        <v>372</v>
      </c>
      <c r="AU207" s="308" t="s">
        <v>248</v>
      </c>
      <c r="AV207" s="361" t="s">
        <v>249</v>
      </c>
      <c r="AW207" s="303" t="s">
        <v>244</v>
      </c>
      <c r="AX207" s="303" t="s">
        <v>244</v>
      </c>
      <c r="AY207" s="394" t="s">
        <v>250</v>
      </c>
      <c r="AZ207" s="394" t="s">
        <v>251</v>
      </c>
      <c r="BA207" s="394" t="s">
        <v>252</v>
      </c>
      <c r="BB207" s="394" t="s">
        <v>250</v>
      </c>
      <c r="BC207" s="394"/>
      <c r="BD207" s="394"/>
    </row>
    <row r="208" spans="1:56" ht="48" x14ac:dyDescent="0.2">
      <c r="A208" s="257">
        <v>206</v>
      </c>
      <c r="B208" s="299" t="s">
        <v>90</v>
      </c>
      <c r="C208" s="299" t="s">
        <v>78</v>
      </c>
      <c r="D208" s="299" t="s">
        <v>375</v>
      </c>
      <c r="E208" s="299"/>
      <c r="F208" s="350" t="s">
        <v>383</v>
      </c>
      <c r="G208" s="350" t="s">
        <v>374</v>
      </c>
      <c r="H208" s="45" t="s">
        <v>69</v>
      </c>
      <c r="I208" s="299"/>
      <c r="J208" s="269">
        <v>1967592.5925925926</v>
      </c>
      <c r="K208" s="300">
        <v>5.0000000000000044E-2</v>
      </c>
      <c r="L208" s="395">
        <v>3163972</v>
      </c>
      <c r="M208" s="299">
        <v>1</v>
      </c>
      <c r="N208" s="299" t="s">
        <v>686</v>
      </c>
      <c r="O208" s="250">
        <v>45339</v>
      </c>
      <c r="P208" s="316">
        <v>45472</v>
      </c>
      <c r="Q208" s="396">
        <v>15819860</v>
      </c>
      <c r="R208" s="317"/>
      <c r="S208" s="317"/>
      <c r="T208" s="396">
        <v>0</v>
      </c>
      <c r="U208" s="397">
        <v>5</v>
      </c>
      <c r="V208" s="396">
        <v>15819860</v>
      </c>
      <c r="W208" s="398">
        <v>1750000000</v>
      </c>
      <c r="X208" s="353">
        <v>-0.43899999999999995</v>
      </c>
      <c r="Y208" s="376"/>
      <c r="Z208" s="376" t="s">
        <v>376</v>
      </c>
      <c r="AA208" s="398">
        <v>981750000</v>
      </c>
      <c r="AB208" s="270" t="s">
        <v>243</v>
      </c>
      <c r="AC208" s="393" t="s">
        <v>373</v>
      </c>
      <c r="AD208" s="393" t="s">
        <v>361</v>
      </c>
      <c r="AE208" s="358" t="s">
        <v>244</v>
      </c>
      <c r="AF208" s="399" t="str">
        <f t="shared" si="86"/>
        <v>CLE-206</v>
      </c>
      <c r="AG208" s="270">
        <v>80111600</v>
      </c>
      <c r="AH208" s="310" t="s">
        <v>682</v>
      </c>
      <c r="AI208" s="301">
        <v>45327</v>
      </c>
      <c r="AJ208" s="301">
        <v>45327</v>
      </c>
      <c r="AK208" s="302">
        <v>5</v>
      </c>
      <c r="AL208" s="303" t="s">
        <v>241</v>
      </c>
      <c r="AM208" s="304" t="s">
        <v>242</v>
      </c>
      <c r="AN208" s="401">
        <v>15819860</v>
      </c>
      <c r="AO208" s="401">
        <v>15819860</v>
      </c>
      <c r="AP208" s="303" t="s">
        <v>244</v>
      </c>
      <c r="AQ208" s="303" t="s">
        <v>245</v>
      </c>
      <c r="AR208" s="360" t="s">
        <v>246</v>
      </c>
      <c r="AS208" s="306" t="s">
        <v>247</v>
      </c>
      <c r="AT208" s="307" t="s">
        <v>372</v>
      </c>
      <c r="AU208" s="308" t="s">
        <v>248</v>
      </c>
      <c r="AV208" s="361" t="s">
        <v>249</v>
      </c>
      <c r="AW208" s="303" t="s">
        <v>244</v>
      </c>
      <c r="AX208" s="303" t="s">
        <v>244</v>
      </c>
      <c r="AY208" s="394" t="s">
        <v>250</v>
      </c>
      <c r="AZ208" s="394" t="s">
        <v>251</v>
      </c>
      <c r="BA208" s="394" t="s">
        <v>252</v>
      </c>
      <c r="BB208" s="394" t="s">
        <v>250</v>
      </c>
      <c r="BC208" s="394"/>
      <c r="BD208" s="394"/>
    </row>
    <row r="209" spans="1:56" ht="48" x14ac:dyDescent="0.2">
      <c r="A209" s="257">
        <v>207</v>
      </c>
      <c r="B209" s="299" t="s">
        <v>90</v>
      </c>
      <c r="C209" s="299" t="s">
        <v>78</v>
      </c>
      <c r="D209" s="299" t="s">
        <v>375</v>
      </c>
      <c r="E209" s="299"/>
      <c r="F209" s="350" t="s">
        <v>383</v>
      </c>
      <c r="G209" s="350" t="s">
        <v>374</v>
      </c>
      <c r="H209" s="45" t="s">
        <v>69</v>
      </c>
      <c r="I209" s="299"/>
      <c r="J209" s="269">
        <v>1967592.5925925926</v>
      </c>
      <c r="K209" s="300">
        <v>5.0000000000000044E-2</v>
      </c>
      <c r="L209" s="395">
        <v>2605993</v>
      </c>
      <c r="M209" s="299">
        <v>1</v>
      </c>
      <c r="N209" s="299" t="s">
        <v>686</v>
      </c>
      <c r="O209" s="250">
        <v>45339</v>
      </c>
      <c r="P209" s="316">
        <v>45472</v>
      </c>
      <c r="Q209" s="396">
        <v>13029965</v>
      </c>
      <c r="R209" s="317"/>
      <c r="S209" s="317"/>
      <c r="T209" s="396">
        <v>0</v>
      </c>
      <c r="U209" s="397">
        <v>5</v>
      </c>
      <c r="V209" s="396">
        <v>13029965</v>
      </c>
      <c r="W209" s="398">
        <v>1750000000</v>
      </c>
      <c r="X209" s="353">
        <v>-0.43899999999999995</v>
      </c>
      <c r="Y209" s="376"/>
      <c r="Z209" s="376" t="s">
        <v>376</v>
      </c>
      <c r="AA209" s="398">
        <v>981750000</v>
      </c>
      <c r="AB209" s="270" t="s">
        <v>243</v>
      </c>
      <c r="AC209" s="393" t="s">
        <v>373</v>
      </c>
      <c r="AD209" s="393" t="s">
        <v>361</v>
      </c>
      <c r="AE209" s="358" t="s">
        <v>244</v>
      </c>
      <c r="AF209" s="399" t="str">
        <f t="shared" si="86"/>
        <v>CLE-207</v>
      </c>
      <c r="AG209" s="270">
        <v>80111600</v>
      </c>
      <c r="AH209" s="310" t="s">
        <v>682</v>
      </c>
      <c r="AI209" s="301">
        <v>45327</v>
      </c>
      <c r="AJ209" s="301">
        <v>45327</v>
      </c>
      <c r="AK209" s="302">
        <v>5</v>
      </c>
      <c r="AL209" s="303" t="s">
        <v>241</v>
      </c>
      <c r="AM209" s="304" t="s">
        <v>242</v>
      </c>
      <c r="AN209" s="401">
        <v>13029965</v>
      </c>
      <c r="AO209" s="401">
        <v>13029965</v>
      </c>
      <c r="AP209" s="303" t="s">
        <v>244</v>
      </c>
      <c r="AQ209" s="303" t="s">
        <v>245</v>
      </c>
      <c r="AR209" s="360" t="s">
        <v>246</v>
      </c>
      <c r="AS209" s="306" t="s">
        <v>247</v>
      </c>
      <c r="AT209" s="307" t="s">
        <v>372</v>
      </c>
      <c r="AU209" s="308" t="s">
        <v>248</v>
      </c>
      <c r="AV209" s="361" t="s">
        <v>249</v>
      </c>
      <c r="AW209" s="303" t="s">
        <v>244</v>
      </c>
      <c r="AX209" s="303" t="s">
        <v>244</v>
      </c>
      <c r="AY209" s="394" t="s">
        <v>250</v>
      </c>
      <c r="AZ209" s="394" t="s">
        <v>251</v>
      </c>
      <c r="BA209" s="394" t="s">
        <v>252</v>
      </c>
      <c r="BB209" s="394" t="s">
        <v>250</v>
      </c>
      <c r="BC209" s="394"/>
      <c r="BD209" s="394"/>
    </row>
    <row r="210" spans="1:56" ht="48" x14ac:dyDescent="0.2">
      <c r="A210" s="257">
        <v>208</v>
      </c>
      <c r="B210" s="299" t="s">
        <v>90</v>
      </c>
      <c r="C210" s="299" t="s">
        <v>78</v>
      </c>
      <c r="D210" s="299" t="s">
        <v>375</v>
      </c>
      <c r="E210" s="299"/>
      <c r="F210" s="350" t="s">
        <v>383</v>
      </c>
      <c r="G210" s="350" t="s">
        <v>374</v>
      </c>
      <c r="H210" s="45" t="s">
        <v>69</v>
      </c>
      <c r="I210" s="299"/>
      <c r="J210" s="269">
        <v>1967592.5925925926</v>
      </c>
      <c r="K210" s="300">
        <v>5.0000000000000044E-2</v>
      </c>
      <c r="L210" s="395" t="s">
        <v>692</v>
      </c>
      <c r="M210" s="299">
        <v>1</v>
      </c>
      <c r="N210" s="299" t="s">
        <v>686</v>
      </c>
      <c r="O210" s="250">
        <v>45339</v>
      </c>
      <c r="P210" s="316">
        <v>45472</v>
      </c>
      <c r="Q210" s="396">
        <v>15888517</v>
      </c>
      <c r="R210" s="317"/>
      <c r="S210" s="317"/>
      <c r="T210" s="396">
        <v>0</v>
      </c>
      <c r="U210" s="397">
        <v>5</v>
      </c>
      <c r="V210" s="396">
        <v>15888517</v>
      </c>
      <c r="W210" s="398">
        <v>1750000000</v>
      </c>
      <c r="X210" s="353">
        <v>-0.43899999999999995</v>
      </c>
      <c r="Y210" s="376"/>
      <c r="Z210" s="376" t="s">
        <v>376</v>
      </c>
      <c r="AA210" s="398">
        <v>981750000</v>
      </c>
      <c r="AB210" s="270" t="s">
        <v>243</v>
      </c>
      <c r="AC210" s="393" t="s">
        <v>373</v>
      </c>
      <c r="AD210" s="393" t="s">
        <v>361</v>
      </c>
      <c r="AE210" s="358" t="s">
        <v>244</v>
      </c>
      <c r="AF210" s="399" t="str">
        <f t="shared" si="86"/>
        <v>CLE-208</v>
      </c>
      <c r="AG210" s="270">
        <v>80111600</v>
      </c>
      <c r="AH210" s="310" t="s">
        <v>682</v>
      </c>
      <c r="AI210" s="301">
        <v>45327</v>
      </c>
      <c r="AJ210" s="301">
        <v>45327</v>
      </c>
      <c r="AK210" s="302">
        <v>5</v>
      </c>
      <c r="AL210" s="303" t="s">
        <v>241</v>
      </c>
      <c r="AM210" s="304" t="s">
        <v>242</v>
      </c>
      <c r="AN210" s="401">
        <v>15888517</v>
      </c>
      <c r="AO210" s="401">
        <v>15888517</v>
      </c>
      <c r="AP210" s="303" t="s">
        <v>244</v>
      </c>
      <c r="AQ210" s="303" t="s">
        <v>245</v>
      </c>
      <c r="AR210" s="360" t="s">
        <v>246</v>
      </c>
      <c r="AS210" s="306" t="s">
        <v>247</v>
      </c>
      <c r="AT210" s="307" t="s">
        <v>372</v>
      </c>
      <c r="AU210" s="308" t="s">
        <v>248</v>
      </c>
      <c r="AV210" s="361" t="s">
        <v>249</v>
      </c>
      <c r="AW210" s="303" t="s">
        <v>244</v>
      </c>
      <c r="AX210" s="303" t="s">
        <v>244</v>
      </c>
      <c r="AY210" s="394" t="s">
        <v>250</v>
      </c>
      <c r="AZ210" s="394" t="s">
        <v>251</v>
      </c>
      <c r="BA210" s="394" t="s">
        <v>252</v>
      </c>
      <c r="BB210" s="394" t="s">
        <v>250</v>
      </c>
      <c r="BC210" s="394"/>
      <c r="BD210" s="394"/>
    </row>
    <row r="211" spans="1:56" ht="48" x14ac:dyDescent="0.2">
      <c r="A211" s="257">
        <v>209</v>
      </c>
      <c r="B211" s="299" t="s">
        <v>90</v>
      </c>
      <c r="C211" s="299" t="s">
        <v>78</v>
      </c>
      <c r="D211" s="299" t="s">
        <v>375</v>
      </c>
      <c r="E211" s="299"/>
      <c r="F211" s="350" t="s">
        <v>383</v>
      </c>
      <c r="G211" s="350" t="s">
        <v>374</v>
      </c>
      <c r="H211" s="45" t="s">
        <v>69</v>
      </c>
      <c r="I211" s="299"/>
      <c r="J211" s="269">
        <v>1967592.5925925926</v>
      </c>
      <c r="K211" s="300">
        <v>5.0000000000000044E-2</v>
      </c>
      <c r="L211" s="395" t="s">
        <v>692</v>
      </c>
      <c r="M211" s="299">
        <v>1</v>
      </c>
      <c r="N211" s="299" t="s">
        <v>686</v>
      </c>
      <c r="O211" s="250">
        <v>45339</v>
      </c>
      <c r="P211" s="316">
        <v>45472</v>
      </c>
      <c r="Q211" s="396">
        <v>22069855</v>
      </c>
      <c r="R211" s="317"/>
      <c r="S211" s="317"/>
      <c r="T211" s="396">
        <v>0</v>
      </c>
      <c r="U211" s="397">
        <v>5</v>
      </c>
      <c r="V211" s="396">
        <v>22069855</v>
      </c>
      <c r="W211" s="398">
        <v>1750000000</v>
      </c>
      <c r="X211" s="353">
        <v>-0.43899999999999995</v>
      </c>
      <c r="Y211" s="376"/>
      <c r="Z211" s="376" t="s">
        <v>376</v>
      </c>
      <c r="AA211" s="398">
        <v>981750000</v>
      </c>
      <c r="AB211" s="270" t="s">
        <v>243</v>
      </c>
      <c r="AC211" s="393" t="s">
        <v>373</v>
      </c>
      <c r="AD211" s="393" t="s">
        <v>361</v>
      </c>
      <c r="AE211" s="358" t="s">
        <v>244</v>
      </c>
      <c r="AF211" s="399" t="str">
        <f t="shared" si="86"/>
        <v>CLE-209</v>
      </c>
      <c r="AG211" s="270">
        <v>80111600</v>
      </c>
      <c r="AH211" s="310" t="s">
        <v>682</v>
      </c>
      <c r="AI211" s="301">
        <v>45327</v>
      </c>
      <c r="AJ211" s="301">
        <v>45327</v>
      </c>
      <c r="AK211" s="302">
        <v>5</v>
      </c>
      <c r="AL211" s="303" t="s">
        <v>241</v>
      </c>
      <c r="AM211" s="304" t="s">
        <v>242</v>
      </c>
      <c r="AN211" s="401">
        <v>22069855</v>
      </c>
      <c r="AO211" s="401">
        <v>22069855</v>
      </c>
      <c r="AP211" s="303" t="s">
        <v>244</v>
      </c>
      <c r="AQ211" s="303" t="s">
        <v>245</v>
      </c>
      <c r="AR211" s="360" t="s">
        <v>246</v>
      </c>
      <c r="AS211" s="306" t="s">
        <v>247</v>
      </c>
      <c r="AT211" s="307" t="s">
        <v>372</v>
      </c>
      <c r="AU211" s="308" t="s">
        <v>248</v>
      </c>
      <c r="AV211" s="361" t="s">
        <v>249</v>
      </c>
      <c r="AW211" s="303" t="s">
        <v>244</v>
      </c>
      <c r="AX211" s="303" t="s">
        <v>244</v>
      </c>
      <c r="AY211" s="394" t="s">
        <v>250</v>
      </c>
      <c r="AZ211" s="394" t="s">
        <v>251</v>
      </c>
      <c r="BA211" s="394" t="s">
        <v>252</v>
      </c>
      <c r="BB211" s="394" t="s">
        <v>250</v>
      </c>
      <c r="BC211" s="394"/>
      <c r="BD211" s="394"/>
    </row>
    <row r="212" spans="1:56" ht="48" x14ac:dyDescent="0.2">
      <c r="A212" s="257">
        <v>210</v>
      </c>
      <c r="B212" s="299" t="s">
        <v>90</v>
      </c>
      <c r="C212" s="299" t="s">
        <v>78</v>
      </c>
      <c r="D212" s="299" t="s">
        <v>375</v>
      </c>
      <c r="E212" s="299"/>
      <c r="F212" s="350" t="s">
        <v>383</v>
      </c>
      <c r="G212" s="350" t="s">
        <v>374</v>
      </c>
      <c r="H212" s="45" t="s">
        <v>69</v>
      </c>
      <c r="I212" s="299"/>
      <c r="J212" s="269">
        <v>1967592.5925925926</v>
      </c>
      <c r="K212" s="300">
        <v>5.0000000000000044E-2</v>
      </c>
      <c r="L212" s="395" t="s">
        <v>692</v>
      </c>
      <c r="M212" s="299">
        <v>1</v>
      </c>
      <c r="N212" s="299" t="s">
        <v>686</v>
      </c>
      <c r="O212" s="250">
        <v>45339</v>
      </c>
      <c r="P212" s="316">
        <v>45472</v>
      </c>
      <c r="Q212" s="396">
        <v>17442786</v>
      </c>
      <c r="R212" s="317"/>
      <c r="S212" s="317"/>
      <c r="T212" s="396">
        <v>0</v>
      </c>
      <c r="U212" s="397">
        <v>5</v>
      </c>
      <c r="V212" s="396">
        <v>17442786</v>
      </c>
      <c r="W212" s="398">
        <v>1750000000</v>
      </c>
      <c r="X212" s="353">
        <v>-0.43899999999999995</v>
      </c>
      <c r="Y212" s="376"/>
      <c r="Z212" s="376" t="s">
        <v>376</v>
      </c>
      <c r="AA212" s="398">
        <v>981750000</v>
      </c>
      <c r="AB212" s="270" t="s">
        <v>243</v>
      </c>
      <c r="AC212" s="393" t="s">
        <v>373</v>
      </c>
      <c r="AD212" s="393" t="s">
        <v>361</v>
      </c>
      <c r="AE212" s="358" t="s">
        <v>244</v>
      </c>
      <c r="AF212" s="399" t="str">
        <f t="shared" si="86"/>
        <v>CLE-210</v>
      </c>
      <c r="AG212" s="270">
        <v>80111600</v>
      </c>
      <c r="AH212" s="310" t="s">
        <v>682</v>
      </c>
      <c r="AI212" s="301">
        <v>45327</v>
      </c>
      <c r="AJ212" s="301">
        <v>45327</v>
      </c>
      <c r="AK212" s="302">
        <v>5</v>
      </c>
      <c r="AL212" s="303" t="s">
        <v>241</v>
      </c>
      <c r="AM212" s="304" t="s">
        <v>242</v>
      </c>
      <c r="AN212" s="400">
        <v>17442786</v>
      </c>
      <c r="AO212" s="400">
        <v>17442786</v>
      </c>
      <c r="AP212" s="303" t="s">
        <v>244</v>
      </c>
      <c r="AQ212" s="303" t="s">
        <v>245</v>
      </c>
      <c r="AR212" s="360" t="s">
        <v>246</v>
      </c>
      <c r="AS212" s="306" t="s">
        <v>247</v>
      </c>
      <c r="AT212" s="307" t="s">
        <v>372</v>
      </c>
      <c r="AU212" s="308" t="s">
        <v>248</v>
      </c>
      <c r="AV212" s="361" t="s">
        <v>249</v>
      </c>
      <c r="AW212" s="303" t="s">
        <v>244</v>
      </c>
      <c r="AX212" s="303" t="s">
        <v>244</v>
      </c>
      <c r="AY212" s="394" t="s">
        <v>250</v>
      </c>
      <c r="AZ212" s="394" t="s">
        <v>251</v>
      </c>
      <c r="BA212" s="394" t="s">
        <v>252</v>
      </c>
      <c r="BB212" s="394" t="s">
        <v>250</v>
      </c>
      <c r="BC212" s="394"/>
      <c r="BD212" s="394"/>
    </row>
    <row r="213" spans="1:56" ht="48" x14ac:dyDescent="0.2">
      <c r="A213" s="257">
        <v>211</v>
      </c>
      <c r="B213" s="299" t="s">
        <v>90</v>
      </c>
      <c r="C213" s="299" t="s">
        <v>78</v>
      </c>
      <c r="D213" s="299" t="s">
        <v>375</v>
      </c>
      <c r="E213" s="299"/>
      <c r="F213" s="350" t="s">
        <v>383</v>
      </c>
      <c r="G213" s="350" t="s">
        <v>374</v>
      </c>
      <c r="H213" s="45" t="s">
        <v>69</v>
      </c>
      <c r="I213" s="299"/>
      <c r="J213" s="269">
        <v>1967592.5925925926</v>
      </c>
      <c r="K213" s="300">
        <v>5.0000000000000044E-2</v>
      </c>
      <c r="L213" s="395" t="s">
        <v>692</v>
      </c>
      <c r="M213" s="299">
        <v>1</v>
      </c>
      <c r="N213" s="299" t="s">
        <v>686</v>
      </c>
      <c r="O213" s="250">
        <v>45339</v>
      </c>
      <c r="P213" s="316">
        <v>45472</v>
      </c>
      <c r="Q213" s="396">
        <v>25222720</v>
      </c>
      <c r="R213" s="317"/>
      <c r="S213" s="317"/>
      <c r="T213" s="396">
        <v>0</v>
      </c>
      <c r="U213" s="397">
        <v>5</v>
      </c>
      <c r="V213" s="396">
        <v>25222720</v>
      </c>
      <c r="W213" s="398">
        <v>1750000000</v>
      </c>
      <c r="X213" s="353">
        <v>-0.43899999999999995</v>
      </c>
      <c r="Y213" s="376"/>
      <c r="Z213" s="376" t="s">
        <v>376</v>
      </c>
      <c r="AA213" s="398">
        <v>981750000</v>
      </c>
      <c r="AB213" s="270" t="s">
        <v>243</v>
      </c>
      <c r="AC213" s="393" t="s">
        <v>373</v>
      </c>
      <c r="AD213" s="393" t="s">
        <v>361</v>
      </c>
      <c r="AE213" s="358" t="s">
        <v>244</v>
      </c>
      <c r="AF213" s="399" t="str">
        <f t="shared" si="86"/>
        <v>CLE-211</v>
      </c>
      <c r="AG213" s="270">
        <v>80111600</v>
      </c>
      <c r="AH213" s="310" t="s">
        <v>682</v>
      </c>
      <c r="AI213" s="301">
        <v>45327</v>
      </c>
      <c r="AJ213" s="301">
        <v>45327</v>
      </c>
      <c r="AK213" s="302">
        <v>5</v>
      </c>
      <c r="AL213" s="303" t="s">
        <v>241</v>
      </c>
      <c r="AM213" s="304" t="s">
        <v>242</v>
      </c>
      <c r="AN213" s="305">
        <v>25222720</v>
      </c>
      <c r="AO213" s="305">
        <v>25222720</v>
      </c>
      <c r="AP213" s="303" t="s">
        <v>244</v>
      </c>
      <c r="AQ213" s="303" t="s">
        <v>245</v>
      </c>
      <c r="AR213" s="360" t="s">
        <v>246</v>
      </c>
      <c r="AS213" s="306" t="s">
        <v>247</v>
      </c>
      <c r="AT213" s="307" t="s">
        <v>372</v>
      </c>
      <c r="AU213" s="308" t="s">
        <v>248</v>
      </c>
      <c r="AV213" s="361" t="s">
        <v>249</v>
      </c>
      <c r="AW213" s="303" t="s">
        <v>244</v>
      </c>
      <c r="AX213" s="303" t="s">
        <v>244</v>
      </c>
      <c r="AY213" s="394" t="s">
        <v>250</v>
      </c>
      <c r="AZ213" s="394" t="s">
        <v>251</v>
      </c>
      <c r="BA213" s="394" t="s">
        <v>252</v>
      </c>
      <c r="BB213" s="394" t="s">
        <v>250</v>
      </c>
      <c r="BC213" s="394"/>
      <c r="BD213" s="394"/>
    </row>
    <row r="214" spans="1:56" ht="48" x14ac:dyDescent="0.2">
      <c r="A214" s="257">
        <v>212</v>
      </c>
      <c r="B214" s="299" t="s">
        <v>90</v>
      </c>
      <c r="C214" s="299" t="s">
        <v>78</v>
      </c>
      <c r="D214" s="299" t="s">
        <v>375</v>
      </c>
      <c r="E214" s="299"/>
      <c r="F214" s="350" t="s">
        <v>383</v>
      </c>
      <c r="G214" s="350" t="s">
        <v>374</v>
      </c>
      <c r="H214" s="45" t="s">
        <v>69</v>
      </c>
      <c r="I214" s="299"/>
      <c r="J214" s="269">
        <v>1967592.5925925926</v>
      </c>
      <c r="K214" s="300">
        <v>5.0000000000000044E-2</v>
      </c>
      <c r="L214" s="395" t="s">
        <v>692</v>
      </c>
      <c r="M214" s="299">
        <v>1</v>
      </c>
      <c r="N214" s="299" t="s">
        <v>686</v>
      </c>
      <c r="O214" s="250">
        <v>45339</v>
      </c>
      <c r="P214" s="316">
        <v>45472</v>
      </c>
      <c r="Q214" s="396">
        <v>23646338</v>
      </c>
      <c r="R214" s="317"/>
      <c r="S214" s="317"/>
      <c r="T214" s="396">
        <v>0</v>
      </c>
      <c r="U214" s="397">
        <v>5</v>
      </c>
      <c r="V214" s="396">
        <v>23646338</v>
      </c>
      <c r="W214" s="398">
        <v>1750000000</v>
      </c>
      <c r="X214" s="353">
        <v>-0.43899999999999995</v>
      </c>
      <c r="Y214" s="376"/>
      <c r="Z214" s="376" t="s">
        <v>376</v>
      </c>
      <c r="AA214" s="398">
        <v>981750000</v>
      </c>
      <c r="AB214" s="270" t="s">
        <v>243</v>
      </c>
      <c r="AC214" s="393" t="s">
        <v>373</v>
      </c>
      <c r="AD214" s="393" t="s">
        <v>361</v>
      </c>
      <c r="AE214" s="358" t="s">
        <v>244</v>
      </c>
      <c r="AF214" s="399" t="str">
        <f t="shared" si="86"/>
        <v>CLE-212</v>
      </c>
      <c r="AG214" s="270">
        <v>80111600</v>
      </c>
      <c r="AH214" s="310" t="s">
        <v>682</v>
      </c>
      <c r="AI214" s="301">
        <v>45327</v>
      </c>
      <c r="AJ214" s="301">
        <v>45327</v>
      </c>
      <c r="AK214" s="302">
        <v>5</v>
      </c>
      <c r="AL214" s="303" t="s">
        <v>241</v>
      </c>
      <c r="AM214" s="304" t="s">
        <v>242</v>
      </c>
      <c r="AN214" s="400">
        <v>23646338</v>
      </c>
      <c r="AO214" s="400">
        <v>23646338</v>
      </c>
      <c r="AP214" s="303" t="s">
        <v>244</v>
      </c>
      <c r="AQ214" s="303" t="s">
        <v>245</v>
      </c>
      <c r="AR214" s="360" t="s">
        <v>246</v>
      </c>
      <c r="AS214" s="306" t="s">
        <v>247</v>
      </c>
      <c r="AT214" s="307" t="s">
        <v>372</v>
      </c>
      <c r="AU214" s="308" t="s">
        <v>248</v>
      </c>
      <c r="AV214" s="361" t="s">
        <v>249</v>
      </c>
      <c r="AW214" s="303" t="s">
        <v>244</v>
      </c>
      <c r="AX214" s="303" t="s">
        <v>244</v>
      </c>
      <c r="AY214" s="394" t="s">
        <v>250</v>
      </c>
      <c r="AZ214" s="394" t="s">
        <v>251</v>
      </c>
      <c r="BA214" s="394" t="s">
        <v>252</v>
      </c>
      <c r="BB214" s="394" t="s">
        <v>250</v>
      </c>
      <c r="BC214" s="394"/>
      <c r="BD214" s="394"/>
    </row>
    <row r="215" spans="1:56" ht="48" x14ac:dyDescent="0.2">
      <c r="A215" s="270">
        <v>213</v>
      </c>
      <c r="B215" s="299" t="s">
        <v>90</v>
      </c>
      <c r="C215" s="299" t="s">
        <v>78</v>
      </c>
      <c r="D215" s="299" t="s">
        <v>375</v>
      </c>
      <c r="E215" s="299"/>
      <c r="F215" s="350" t="s">
        <v>383</v>
      </c>
      <c r="G215" s="350" t="s">
        <v>374</v>
      </c>
      <c r="H215" s="45" t="s">
        <v>69</v>
      </c>
      <c r="I215" s="299"/>
      <c r="J215" s="269">
        <v>1967592.5925925926</v>
      </c>
      <c r="K215" s="300">
        <v>5.0000000000000044E-2</v>
      </c>
      <c r="L215" s="395">
        <v>1490036</v>
      </c>
      <c r="M215" s="299">
        <v>1</v>
      </c>
      <c r="N215" s="299" t="s">
        <v>686</v>
      </c>
      <c r="O215" s="250">
        <v>45339</v>
      </c>
      <c r="P215" s="316">
        <v>45472</v>
      </c>
      <c r="Q215" s="396">
        <v>7450180</v>
      </c>
      <c r="R215" s="317"/>
      <c r="S215" s="317"/>
      <c r="T215" s="396">
        <v>0</v>
      </c>
      <c r="U215" s="397">
        <v>5</v>
      </c>
      <c r="V215" s="396">
        <v>7450180</v>
      </c>
      <c r="W215" s="398">
        <v>1750000000</v>
      </c>
      <c r="X215" s="353">
        <v>-0.43899999999999995</v>
      </c>
      <c r="Y215" s="376"/>
      <c r="Z215" s="376" t="s">
        <v>376</v>
      </c>
      <c r="AA215" s="398">
        <v>981750000</v>
      </c>
      <c r="AB215" s="270" t="s">
        <v>243</v>
      </c>
      <c r="AC215" s="393" t="s">
        <v>373</v>
      </c>
      <c r="AD215" s="393" t="s">
        <v>361</v>
      </c>
      <c r="AE215" s="358" t="s">
        <v>244</v>
      </c>
      <c r="AF215" s="399" t="str">
        <f t="shared" si="86"/>
        <v>CLE-213</v>
      </c>
      <c r="AG215" s="270">
        <v>80111600</v>
      </c>
      <c r="AH215" s="310" t="s">
        <v>682</v>
      </c>
      <c r="AI215" s="301">
        <v>45327</v>
      </c>
      <c r="AJ215" s="301">
        <v>45327</v>
      </c>
      <c r="AK215" s="302">
        <v>5</v>
      </c>
      <c r="AL215" s="303" t="s">
        <v>241</v>
      </c>
      <c r="AM215" s="304" t="s">
        <v>242</v>
      </c>
      <c r="AN215" s="400">
        <v>7450180</v>
      </c>
      <c r="AO215" s="400">
        <v>7450180</v>
      </c>
      <c r="AP215" s="303" t="s">
        <v>244</v>
      </c>
      <c r="AQ215" s="303" t="s">
        <v>245</v>
      </c>
      <c r="AR215" s="360" t="s">
        <v>246</v>
      </c>
      <c r="AS215" s="306" t="s">
        <v>247</v>
      </c>
      <c r="AT215" s="307" t="s">
        <v>372</v>
      </c>
      <c r="AU215" s="308" t="s">
        <v>248</v>
      </c>
      <c r="AV215" s="361" t="s">
        <v>249</v>
      </c>
      <c r="AW215" s="303" t="s">
        <v>244</v>
      </c>
      <c r="AX215" s="303" t="s">
        <v>244</v>
      </c>
      <c r="AY215" s="394" t="s">
        <v>250</v>
      </c>
      <c r="AZ215" s="394" t="s">
        <v>251</v>
      </c>
      <c r="BA215" s="394" t="s">
        <v>252</v>
      </c>
      <c r="BB215" s="394" t="s">
        <v>250</v>
      </c>
      <c r="BC215" s="394"/>
      <c r="BD215" s="394"/>
    </row>
    <row r="216" spans="1:56" ht="48" x14ac:dyDescent="0.2">
      <c r="A216" s="270">
        <v>214</v>
      </c>
      <c r="B216" s="299" t="s">
        <v>63</v>
      </c>
      <c r="C216" s="299" t="s">
        <v>693</v>
      </c>
      <c r="D216" s="299" t="s">
        <v>693</v>
      </c>
      <c r="E216" s="299" t="s">
        <v>88</v>
      </c>
      <c r="F216" s="350" t="s">
        <v>480</v>
      </c>
      <c r="G216" s="350" t="s">
        <v>374</v>
      </c>
      <c r="H216" s="45" t="s">
        <v>694</v>
      </c>
      <c r="I216" s="299"/>
      <c r="J216" s="299"/>
      <c r="K216" s="299"/>
      <c r="L216" s="395">
        <v>2750000</v>
      </c>
      <c r="M216" s="299">
        <v>1</v>
      </c>
      <c r="N216" s="299" t="s">
        <v>686</v>
      </c>
      <c r="O216" s="250">
        <v>45334</v>
      </c>
      <c r="P216" s="316">
        <v>45639</v>
      </c>
      <c r="Q216" s="396">
        <v>28235000</v>
      </c>
      <c r="R216" s="317"/>
      <c r="S216" s="317"/>
      <c r="T216" s="396">
        <v>0</v>
      </c>
      <c r="U216" s="397">
        <v>11</v>
      </c>
      <c r="V216" s="396">
        <f>Q216</f>
        <v>28235000</v>
      </c>
      <c r="W216" s="393"/>
      <c r="X216" s="358"/>
      <c r="Y216" s="399"/>
      <c r="Z216" s="270"/>
      <c r="AA216" s="398">
        <f>V216</f>
        <v>28235000</v>
      </c>
      <c r="AB216" s="270" t="s">
        <v>243</v>
      </c>
      <c r="AC216" s="393" t="s">
        <v>1</v>
      </c>
      <c r="AD216" s="393" t="s">
        <v>361</v>
      </c>
      <c r="AE216" s="358" t="s">
        <v>244</v>
      </c>
      <c r="AF216" s="399" t="str">
        <f>"CON-"&amp;A216</f>
        <v>CON-214</v>
      </c>
      <c r="AG216" s="270">
        <v>80111600</v>
      </c>
      <c r="AH216" s="310" t="s">
        <v>695</v>
      </c>
      <c r="AI216" s="301">
        <v>45327</v>
      </c>
      <c r="AJ216" s="301">
        <v>45327</v>
      </c>
      <c r="AK216" s="302">
        <v>11</v>
      </c>
      <c r="AL216" s="303" t="s">
        <v>241</v>
      </c>
      <c r="AM216" s="304" t="s">
        <v>242</v>
      </c>
      <c r="AN216" s="400">
        <f>AA216</f>
        <v>28235000</v>
      </c>
      <c r="AO216" s="400">
        <f>AN216</f>
        <v>28235000</v>
      </c>
      <c r="AP216" s="303" t="s">
        <v>244</v>
      </c>
      <c r="AQ216" s="303" t="s">
        <v>245</v>
      </c>
      <c r="AR216" s="360" t="s">
        <v>246</v>
      </c>
      <c r="AS216" s="306" t="s">
        <v>247</v>
      </c>
      <c r="AT216" s="307" t="str">
        <f>C216</f>
        <v>FACULTAD DE EDUCACIÓN  FÍSICA</v>
      </c>
      <c r="AU216" s="308" t="s">
        <v>248</v>
      </c>
      <c r="AV216" s="361" t="s">
        <v>249</v>
      </c>
      <c r="AW216" s="303" t="s">
        <v>244</v>
      </c>
      <c r="AX216" s="303" t="s">
        <v>244</v>
      </c>
      <c r="AY216" s="394" t="s">
        <v>250</v>
      </c>
      <c r="AZ216" s="394" t="s">
        <v>251</v>
      </c>
      <c r="BA216" s="394" t="s">
        <v>252</v>
      </c>
      <c r="BB216" s="394" t="s">
        <v>250</v>
      </c>
      <c r="BC216" s="394"/>
      <c r="BD216" s="394"/>
    </row>
    <row r="217" spans="1:56" ht="51" customHeight="1" x14ac:dyDescent="0.2">
      <c r="A217" s="257">
        <v>215</v>
      </c>
      <c r="B217" s="299" t="s">
        <v>90</v>
      </c>
      <c r="C217" s="299" t="s">
        <v>78</v>
      </c>
      <c r="D217" s="299" t="s">
        <v>375</v>
      </c>
      <c r="E217" s="299"/>
      <c r="F217" s="350" t="s">
        <v>383</v>
      </c>
      <c r="G217" s="350" t="s">
        <v>374</v>
      </c>
      <c r="H217" s="45" t="s">
        <v>69</v>
      </c>
      <c r="I217" s="299"/>
      <c r="J217" s="271">
        <v>1967592.5925925926</v>
      </c>
      <c r="K217" s="300">
        <v>5.0000000000000044E-2</v>
      </c>
      <c r="L217" s="402">
        <v>2048015</v>
      </c>
      <c r="M217" s="299">
        <v>1</v>
      </c>
      <c r="N217" s="299" t="s">
        <v>686</v>
      </c>
      <c r="O217" s="250">
        <v>45339</v>
      </c>
      <c r="P217" s="316">
        <v>45472</v>
      </c>
      <c r="Q217" s="403">
        <v>10240075</v>
      </c>
      <c r="R217" s="317"/>
      <c r="S217" s="317"/>
      <c r="T217" s="403">
        <v>0</v>
      </c>
      <c r="U217" s="404">
        <v>5</v>
      </c>
      <c r="V217" s="396">
        <v>10240075</v>
      </c>
      <c r="W217" s="405">
        <v>1750000000</v>
      </c>
      <c r="X217" s="353">
        <v>-0.43899999999999995</v>
      </c>
      <c r="Y217" s="376"/>
      <c r="Z217" s="376" t="s">
        <v>376</v>
      </c>
      <c r="AA217" s="405">
        <v>981750000</v>
      </c>
      <c r="AB217" s="270" t="s">
        <v>243</v>
      </c>
      <c r="AC217" s="393" t="s">
        <v>373</v>
      </c>
      <c r="AD217" s="393" t="s">
        <v>361</v>
      </c>
      <c r="AE217" s="358" t="s">
        <v>244</v>
      </c>
      <c r="AF217" s="399" t="str">
        <f>"CLE-"&amp;A217</f>
        <v>CLE-215</v>
      </c>
      <c r="AG217" s="270">
        <v>80111600</v>
      </c>
      <c r="AH217" s="310" t="s">
        <v>682</v>
      </c>
      <c r="AI217" s="301">
        <v>45327</v>
      </c>
      <c r="AJ217" s="301">
        <v>45327</v>
      </c>
      <c r="AK217" s="302">
        <v>5</v>
      </c>
      <c r="AL217" s="303" t="s">
        <v>241</v>
      </c>
      <c r="AM217" s="304" t="s">
        <v>242</v>
      </c>
      <c r="AN217" s="305">
        <v>10240075</v>
      </c>
      <c r="AO217" s="305">
        <v>10240075</v>
      </c>
      <c r="AP217" s="303" t="s">
        <v>244</v>
      </c>
      <c r="AQ217" s="303" t="s">
        <v>245</v>
      </c>
      <c r="AR217" s="360" t="s">
        <v>246</v>
      </c>
      <c r="AS217" s="306" t="s">
        <v>247</v>
      </c>
      <c r="AT217" s="307" t="s">
        <v>372</v>
      </c>
      <c r="AU217" s="308" t="s">
        <v>248</v>
      </c>
      <c r="AV217" s="361" t="s">
        <v>249</v>
      </c>
      <c r="AW217" s="303" t="s">
        <v>244</v>
      </c>
      <c r="AX217" s="303" t="s">
        <v>244</v>
      </c>
      <c r="AY217" s="394" t="s">
        <v>250</v>
      </c>
      <c r="AZ217" s="394" t="s">
        <v>251</v>
      </c>
      <c r="BA217" s="394" t="s">
        <v>252</v>
      </c>
      <c r="BB217" s="394" t="s">
        <v>250</v>
      </c>
      <c r="BC217" s="394"/>
      <c r="BD217" s="394"/>
    </row>
    <row r="218" spans="1:56" ht="51" customHeight="1" x14ac:dyDescent="0.2">
      <c r="A218" s="257">
        <v>216</v>
      </c>
      <c r="B218" s="299" t="s">
        <v>90</v>
      </c>
      <c r="C218" s="299" t="s">
        <v>78</v>
      </c>
      <c r="D218" s="299" t="s">
        <v>375</v>
      </c>
      <c r="E218" s="299"/>
      <c r="F218" s="350" t="s">
        <v>383</v>
      </c>
      <c r="G218" s="350" t="s">
        <v>374</v>
      </c>
      <c r="H218" s="45" t="s">
        <v>69</v>
      </c>
      <c r="I218" s="299"/>
      <c r="J218" s="271">
        <v>1967592.5925925926</v>
      </c>
      <c r="K218" s="300">
        <v>5.0000000000000044E-2</v>
      </c>
      <c r="L218" s="402">
        <v>4414112</v>
      </c>
      <c r="M218" s="299">
        <v>1</v>
      </c>
      <c r="N218" s="299" t="s">
        <v>686</v>
      </c>
      <c r="O218" s="250">
        <v>45339</v>
      </c>
      <c r="P218" s="316">
        <v>45472</v>
      </c>
      <c r="Q218" s="403">
        <v>22070560</v>
      </c>
      <c r="R218" s="317"/>
      <c r="S218" s="317"/>
      <c r="T218" s="403">
        <v>0</v>
      </c>
      <c r="U218" s="404">
        <v>5</v>
      </c>
      <c r="V218" s="396">
        <v>22070560</v>
      </c>
      <c r="W218" s="405">
        <v>1750000000</v>
      </c>
      <c r="X218" s="353">
        <v>-0.43899999999999995</v>
      </c>
      <c r="Y218" s="376"/>
      <c r="Z218" s="376" t="s">
        <v>376</v>
      </c>
      <c r="AA218" s="405">
        <v>981750000</v>
      </c>
      <c r="AB218" s="270" t="s">
        <v>243</v>
      </c>
      <c r="AC218" s="393" t="s">
        <v>373</v>
      </c>
      <c r="AD218" s="393" t="s">
        <v>361</v>
      </c>
      <c r="AE218" s="358" t="s">
        <v>244</v>
      </c>
      <c r="AF218" s="399" t="str">
        <f t="shared" ref="AF218:AF242" si="87">"CLE-"&amp;A218</f>
        <v>CLE-216</v>
      </c>
      <c r="AG218" s="270">
        <v>80111600</v>
      </c>
      <c r="AH218" s="310" t="s">
        <v>682</v>
      </c>
      <c r="AI218" s="301">
        <v>45327</v>
      </c>
      <c r="AJ218" s="301">
        <v>45327</v>
      </c>
      <c r="AK218" s="302">
        <v>5</v>
      </c>
      <c r="AL218" s="303" t="s">
        <v>241</v>
      </c>
      <c r="AM218" s="304" t="s">
        <v>242</v>
      </c>
      <c r="AN218" s="305">
        <v>22070560</v>
      </c>
      <c r="AO218" s="305">
        <v>22070560</v>
      </c>
      <c r="AP218" s="303" t="s">
        <v>244</v>
      </c>
      <c r="AQ218" s="303" t="s">
        <v>245</v>
      </c>
      <c r="AR218" s="360" t="s">
        <v>246</v>
      </c>
      <c r="AS218" s="306" t="s">
        <v>247</v>
      </c>
      <c r="AT218" s="307" t="s">
        <v>372</v>
      </c>
      <c r="AU218" s="308" t="s">
        <v>248</v>
      </c>
      <c r="AV218" s="361" t="s">
        <v>249</v>
      </c>
      <c r="AW218" s="303" t="s">
        <v>244</v>
      </c>
      <c r="AX218" s="303" t="s">
        <v>244</v>
      </c>
      <c r="AY218" s="394" t="s">
        <v>250</v>
      </c>
      <c r="AZ218" s="394" t="s">
        <v>251</v>
      </c>
      <c r="BA218" s="394" t="s">
        <v>252</v>
      </c>
      <c r="BB218" s="394" t="s">
        <v>250</v>
      </c>
      <c r="BC218" s="394"/>
      <c r="BD218" s="394"/>
    </row>
    <row r="219" spans="1:56" ht="48" x14ac:dyDescent="0.2">
      <c r="A219" s="257">
        <v>217</v>
      </c>
      <c r="B219" s="299" t="s">
        <v>90</v>
      </c>
      <c r="C219" s="299" t="s">
        <v>78</v>
      </c>
      <c r="D219" s="299" t="s">
        <v>375</v>
      </c>
      <c r="E219" s="299"/>
      <c r="F219" s="350" t="s">
        <v>383</v>
      </c>
      <c r="G219" s="350" t="s">
        <v>374</v>
      </c>
      <c r="H219" s="45" t="s">
        <v>69</v>
      </c>
      <c r="I219" s="299"/>
      <c r="J219" s="271">
        <v>1967592.5925925926</v>
      </c>
      <c r="K219" s="300">
        <v>5.0000000000000044E-2</v>
      </c>
      <c r="L219" s="402">
        <v>4414112</v>
      </c>
      <c r="M219" s="299">
        <v>1</v>
      </c>
      <c r="N219" s="299" t="s">
        <v>686</v>
      </c>
      <c r="O219" s="250">
        <v>45339</v>
      </c>
      <c r="P219" s="316">
        <v>45472</v>
      </c>
      <c r="Q219" s="403">
        <v>22070560</v>
      </c>
      <c r="R219" s="317"/>
      <c r="S219" s="317"/>
      <c r="T219" s="403">
        <v>0</v>
      </c>
      <c r="U219" s="404">
        <v>5</v>
      </c>
      <c r="V219" s="396">
        <v>22070560</v>
      </c>
      <c r="W219" s="405">
        <v>1750000000</v>
      </c>
      <c r="X219" s="353">
        <v>-0.43899999999999995</v>
      </c>
      <c r="Y219" s="376"/>
      <c r="Z219" s="376" t="s">
        <v>376</v>
      </c>
      <c r="AA219" s="405">
        <v>981750000</v>
      </c>
      <c r="AB219" s="270" t="s">
        <v>243</v>
      </c>
      <c r="AC219" s="393" t="s">
        <v>373</v>
      </c>
      <c r="AD219" s="393" t="s">
        <v>361</v>
      </c>
      <c r="AE219" s="358" t="s">
        <v>244</v>
      </c>
      <c r="AF219" s="399" t="str">
        <f t="shared" si="87"/>
        <v>CLE-217</v>
      </c>
      <c r="AG219" s="270">
        <v>80111600</v>
      </c>
      <c r="AH219" s="310" t="s">
        <v>682</v>
      </c>
      <c r="AI219" s="301">
        <v>45327</v>
      </c>
      <c r="AJ219" s="301">
        <v>45327</v>
      </c>
      <c r="AK219" s="302">
        <v>5</v>
      </c>
      <c r="AL219" s="303" t="s">
        <v>241</v>
      </c>
      <c r="AM219" s="304" t="s">
        <v>242</v>
      </c>
      <c r="AN219" s="305">
        <v>22070560</v>
      </c>
      <c r="AO219" s="305">
        <v>22070560</v>
      </c>
      <c r="AP219" s="303" t="s">
        <v>244</v>
      </c>
      <c r="AQ219" s="303" t="s">
        <v>245</v>
      </c>
      <c r="AR219" s="360" t="s">
        <v>246</v>
      </c>
      <c r="AS219" s="306" t="s">
        <v>247</v>
      </c>
      <c r="AT219" s="307" t="s">
        <v>372</v>
      </c>
      <c r="AU219" s="308" t="s">
        <v>248</v>
      </c>
      <c r="AV219" s="361" t="s">
        <v>249</v>
      </c>
      <c r="AW219" s="303" t="s">
        <v>244</v>
      </c>
      <c r="AX219" s="303" t="s">
        <v>244</v>
      </c>
      <c r="AY219" s="394" t="s">
        <v>250</v>
      </c>
      <c r="AZ219" s="394" t="s">
        <v>251</v>
      </c>
      <c r="BA219" s="394" t="s">
        <v>252</v>
      </c>
      <c r="BB219" s="394" t="s">
        <v>250</v>
      </c>
      <c r="BC219" s="394"/>
      <c r="BD219" s="394"/>
    </row>
    <row r="220" spans="1:56" ht="48" x14ac:dyDescent="0.2">
      <c r="A220" s="257">
        <v>218</v>
      </c>
      <c r="B220" s="299" t="s">
        <v>90</v>
      </c>
      <c r="C220" s="299" t="s">
        <v>78</v>
      </c>
      <c r="D220" s="299" t="s">
        <v>375</v>
      </c>
      <c r="E220" s="299"/>
      <c r="F220" s="350" t="s">
        <v>383</v>
      </c>
      <c r="G220" s="350" t="s">
        <v>374</v>
      </c>
      <c r="H220" s="45" t="s">
        <v>69</v>
      </c>
      <c r="I220" s="299"/>
      <c r="J220" s="271">
        <v>1967592.5925925926</v>
      </c>
      <c r="K220" s="300">
        <v>5.0000000000000044E-2</v>
      </c>
      <c r="L220" s="402">
        <v>3783438</v>
      </c>
      <c r="M220" s="299">
        <v>1</v>
      </c>
      <c r="N220" s="299" t="s">
        <v>686</v>
      </c>
      <c r="O220" s="250">
        <v>45339</v>
      </c>
      <c r="P220" s="316">
        <v>45472</v>
      </c>
      <c r="Q220" s="403">
        <v>18917190</v>
      </c>
      <c r="R220" s="317"/>
      <c r="S220" s="317"/>
      <c r="T220" s="403">
        <v>0</v>
      </c>
      <c r="U220" s="404">
        <v>5</v>
      </c>
      <c r="V220" s="396">
        <v>18917190</v>
      </c>
      <c r="W220" s="405">
        <v>1750000000</v>
      </c>
      <c r="X220" s="353">
        <v>-0.43899999999999995</v>
      </c>
      <c r="Y220" s="376"/>
      <c r="Z220" s="376" t="s">
        <v>376</v>
      </c>
      <c r="AA220" s="405">
        <v>981750000</v>
      </c>
      <c r="AB220" s="270" t="s">
        <v>243</v>
      </c>
      <c r="AC220" s="393" t="s">
        <v>373</v>
      </c>
      <c r="AD220" s="393" t="s">
        <v>361</v>
      </c>
      <c r="AE220" s="358" t="s">
        <v>244</v>
      </c>
      <c r="AF220" s="399" t="str">
        <f t="shared" si="87"/>
        <v>CLE-218</v>
      </c>
      <c r="AG220" s="270">
        <v>80111600</v>
      </c>
      <c r="AH220" s="310" t="s">
        <v>682</v>
      </c>
      <c r="AI220" s="301">
        <v>45327</v>
      </c>
      <c r="AJ220" s="301">
        <v>45327</v>
      </c>
      <c r="AK220" s="302">
        <v>5</v>
      </c>
      <c r="AL220" s="303" t="s">
        <v>241</v>
      </c>
      <c r="AM220" s="304" t="s">
        <v>242</v>
      </c>
      <c r="AN220" s="305">
        <v>18917190</v>
      </c>
      <c r="AO220" s="305">
        <v>18917190</v>
      </c>
      <c r="AP220" s="303" t="s">
        <v>244</v>
      </c>
      <c r="AQ220" s="303" t="s">
        <v>245</v>
      </c>
      <c r="AR220" s="360" t="s">
        <v>246</v>
      </c>
      <c r="AS220" s="306" t="s">
        <v>247</v>
      </c>
      <c r="AT220" s="307" t="s">
        <v>372</v>
      </c>
      <c r="AU220" s="308" t="s">
        <v>248</v>
      </c>
      <c r="AV220" s="361" t="s">
        <v>249</v>
      </c>
      <c r="AW220" s="303" t="s">
        <v>244</v>
      </c>
      <c r="AX220" s="303" t="s">
        <v>244</v>
      </c>
      <c r="AY220" s="394" t="s">
        <v>250</v>
      </c>
      <c r="AZ220" s="394" t="s">
        <v>251</v>
      </c>
      <c r="BA220" s="394" t="s">
        <v>252</v>
      </c>
      <c r="BB220" s="394" t="s">
        <v>250</v>
      </c>
      <c r="BC220" s="394"/>
      <c r="BD220" s="394"/>
    </row>
    <row r="221" spans="1:56" ht="48" x14ac:dyDescent="0.2">
      <c r="A221" s="257">
        <v>219</v>
      </c>
      <c r="B221" s="299" t="s">
        <v>90</v>
      </c>
      <c r="C221" s="299" t="s">
        <v>78</v>
      </c>
      <c r="D221" s="299" t="s">
        <v>375</v>
      </c>
      <c r="E221" s="299"/>
      <c r="F221" s="350" t="s">
        <v>383</v>
      </c>
      <c r="G221" s="350" t="s">
        <v>374</v>
      </c>
      <c r="H221" s="45" t="s">
        <v>67</v>
      </c>
      <c r="I221" s="299"/>
      <c r="J221" s="271">
        <v>1967592.5925925926</v>
      </c>
      <c r="K221" s="300">
        <v>5.0000000000000044E-2</v>
      </c>
      <c r="L221" s="402">
        <v>4352907</v>
      </c>
      <c r="M221" s="299">
        <v>1</v>
      </c>
      <c r="N221" s="299" t="s">
        <v>686</v>
      </c>
      <c r="O221" s="250">
        <v>45339</v>
      </c>
      <c r="P221" s="316">
        <v>45472</v>
      </c>
      <c r="Q221" s="403">
        <v>21764535</v>
      </c>
      <c r="R221" s="317"/>
      <c r="S221" s="317"/>
      <c r="T221" s="403">
        <v>0</v>
      </c>
      <c r="U221" s="404">
        <v>5</v>
      </c>
      <c r="V221" s="396">
        <v>21764535</v>
      </c>
      <c r="W221" s="405">
        <v>1750000000</v>
      </c>
      <c r="X221" s="353">
        <v>-0.43899999999999995</v>
      </c>
      <c r="Y221" s="376"/>
      <c r="Z221" s="376" t="s">
        <v>376</v>
      </c>
      <c r="AA221" s="405">
        <v>981750000</v>
      </c>
      <c r="AB221" s="270" t="s">
        <v>243</v>
      </c>
      <c r="AC221" s="393" t="s">
        <v>373</v>
      </c>
      <c r="AD221" s="393" t="s">
        <v>361</v>
      </c>
      <c r="AE221" s="358" t="s">
        <v>244</v>
      </c>
      <c r="AF221" s="399" t="str">
        <f t="shared" si="87"/>
        <v>CLE-219</v>
      </c>
      <c r="AG221" s="270">
        <v>80111600</v>
      </c>
      <c r="AH221" s="310" t="s">
        <v>682</v>
      </c>
      <c r="AI221" s="301">
        <v>45327</v>
      </c>
      <c r="AJ221" s="301">
        <v>45327</v>
      </c>
      <c r="AK221" s="302">
        <v>5</v>
      </c>
      <c r="AL221" s="303" t="s">
        <v>241</v>
      </c>
      <c r="AM221" s="304" t="s">
        <v>242</v>
      </c>
      <c r="AN221" s="305">
        <v>21764535</v>
      </c>
      <c r="AO221" s="305">
        <v>21764535</v>
      </c>
      <c r="AP221" s="303" t="s">
        <v>244</v>
      </c>
      <c r="AQ221" s="303" t="s">
        <v>245</v>
      </c>
      <c r="AR221" s="360" t="s">
        <v>246</v>
      </c>
      <c r="AS221" s="306" t="s">
        <v>247</v>
      </c>
      <c r="AT221" s="307" t="s">
        <v>372</v>
      </c>
      <c r="AU221" s="308" t="s">
        <v>248</v>
      </c>
      <c r="AV221" s="361" t="s">
        <v>249</v>
      </c>
      <c r="AW221" s="303" t="s">
        <v>244</v>
      </c>
      <c r="AX221" s="303" t="s">
        <v>244</v>
      </c>
      <c r="AY221" s="394" t="s">
        <v>250</v>
      </c>
      <c r="AZ221" s="394" t="s">
        <v>251</v>
      </c>
      <c r="BA221" s="394" t="s">
        <v>252</v>
      </c>
      <c r="BB221" s="394" t="s">
        <v>250</v>
      </c>
      <c r="BC221" s="394"/>
      <c r="BD221" s="394"/>
    </row>
    <row r="222" spans="1:56" ht="48" x14ac:dyDescent="0.2">
      <c r="A222" s="257">
        <v>220</v>
      </c>
      <c r="B222" s="299" t="s">
        <v>90</v>
      </c>
      <c r="C222" s="299" t="s">
        <v>78</v>
      </c>
      <c r="D222" s="299" t="s">
        <v>375</v>
      </c>
      <c r="E222" s="299"/>
      <c r="F222" s="350" t="s">
        <v>383</v>
      </c>
      <c r="G222" s="350" t="s">
        <v>374</v>
      </c>
      <c r="H222" s="45" t="s">
        <v>69</v>
      </c>
      <c r="I222" s="299"/>
      <c r="J222" s="271">
        <v>1967592.5925925926</v>
      </c>
      <c r="K222" s="300">
        <v>5.0000000000000044E-2</v>
      </c>
      <c r="L222" s="402">
        <v>932058</v>
      </c>
      <c r="M222" s="299">
        <v>1</v>
      </c>
      <c r="N222" s="299" t="s">
        <v>686</v>
      </c>
      <c r="O222" s="250">
        <v>45339</v>
      </c>
      <c r="P222" s="316">
        <v>45472</v>
      </c>
      <c r="Q222" s="403">
        <v>4660290</v>
      </c>
      <c r="R222" s="317"/>
      <c r="S222" s="317"/>
      <c r="T222" s="403">
        <v>0</v>
      </c>
      <c r="U222" s="404">
        <v>5</v>
      </c>
      <c r="V222" s="396">
        <v>4660290</v>
      </c>
      <c r="W222" s="405">
        <v>1750000000</v>
      </c>
      <c r="X222" s="353">
        <v>-0.43899999999999995</v>
      </c>
      <c r="Y222" s="376"/>
      <c r="Z222" s="376" t="s">
        <v>376</v>
      </c>
      <c r="AA222" s="405">
        <v>981750000</v>
      </c>
      <c r="AB222" s="270" t="s">
        <v>243</v>
      </c>
      <c r="AC222" s="393" t="s">
        <v>373</v>
      </c>
      <c r="AD222" s="393" t="s">
        <v>361</v>
      </c>
      <c r="AE222" s="358" t="s">
        <v>244</v>
      </c>
      <c r="AF222" s="399" t="str">
        <f t="shared" si="87"/>
        <v>CLE-220</v>
      </c>
      <c r="AG222" s="270">
        <v>80111600</v>
      </c>
      <c r="AH222" s="310" t="s">
        <v>682</v>
      </c>
      <c r="AI222" s="301">
        <v>45327</v>
      </c>
      <c r="AJ222" s="301">
        <v>45327</v>
      </c>
      <c r="AK222" s="302">
        <v>5</v>
      </c>
      <c r="AL222" s="303" t="s">
        <v>241</v>
      </c>
      <c r="AM222" s="304" t="s">
        <v>242</v>
      </c>
      <c r="AN222" s="305">
        <v>4660290</v>
      </c>
      <c r="AO222" s="305">
        <v>4660290</v>
      </c>
      <c r="AP222" s="303" t="s">
        <v>244</v>
      </c>
      <c r="AQ222" s="303" t="s">
        <v>245</v>
      </c>
      <c r="AR222" s="360" t="s">
        <v>246</v>
      </c>
      <c r="AS222" s="306" t="s">
        <v>247</v>
      </c>
      <c r="AT222" s="307" t="s">
        <v>372</v>
      </c>
      <c r="AU222" s="308" t="s">
        <v>248</v>
      </c>
      <c r="AV222" s="361" t="s">
        <v>249</v>
      </c>
      <c r="AW222" s="303" t="s">
        <v>244</v>
      </c>
      <c r="AX222" s="303" t="s">
        <v>244</v>
      </c>
      <c r="AY222" s="394" t="s">
        <v>250</v>
      </c>
      <c r="AZ222" s="394" t="s">
        <v>251</v>
      </c>
      <c r="BA222" s="394" t="s">
        <v>252</v>
      </c>
      <c r="BB222" s="394" t="s">
        <v>250</v>
      </c>
      <c r="BC222" s="394"/>
      <c r="BD222" s="394"/>
    </row>
    <row r="223" spans="1:56" ht="48" x14ac:dyDescent="0.2">
      <c r="A223" s="257">
        <v>221</v>
      </c>
      <c r="B223" s="299" t="s">
        <v>90</v>
      </c>
      <c r="C223" s="299" t="s">
        <v>78</v>
      </c>
      <c r="D223" s="299" t="s">
        <v>375</v>
      </c>
      <c r="E223" s="299"/>
      <c r="F223" s="350" t="s">
        <v>383</v>
      </c>
      <c r="G223" s="350" t="s">
        <v>374</v>
      </c>
      <c r="H223" s="45" t="s">
        <v>69</v>
      </c>
      <c r="I223" s="299"/>
      <c r="J223" s="271">
        <v>1967592.5925925926</v>
      </c>
      <c r="K223" s="300">
        <v>5.0000000000000044E-2</v>
      </c>
      <c r="L223" s="402">
        <v>932058</v>
      </c>
      <c r="M223" s="299">
        <v>1</v>
      </c>
      <c r="N223" s="299" t="s">
        <v>686</v>
      </c>
      <c r="O223" s="250">
        <v>45339</v>
      </c>
      <c r="P223" s="316">
        <v>45472</v>
      </c>
      <c r="Q223" s="403">
        <v>4660290</v>
      </c>
      <c r="R223" s="317"/>
      <c r="S223" s="317"/>
      <c r="T223" s="403">
        <v>0</v>
      </c>
      <c r="U223" s="404">
        <v>5</v>
      </c>
      <c r="V223" s="396">
        <v>4660290</v>
      </c>
      <c r="W223" s="405">
        <v>1750000000</v>
      </c>
      <c r="X223" s="353">
        <v>-0.43899999999999995</v>
      </c>
      <c r="Y223" s="376"/>
      <c r="Z223" s="376" t="s">
        <v>376</v>
      </c>
      <c r="AA223" s="405">
        <v>981750000</v>
      </c>
      <c r="AB223" s="270" t="s">
        <v>243</v>
      </c>
      <c r="AC223" s="393" t="s">
        <v>373</v>
      </c>
      <c r="AD223" s="393" t="s">
        <v>361</v>
      </c>
      <c r="AE223" s="358" t="s">
        <v>244</v>
      </c>
      <c r="AF223" s="399" t="str">
        <f t="shared" si="87"/>
        <v>CLE-221</v>
      </c>
      <c r="AG223" s="270">
        <v>80111600</v>
      </c>
      <c r="AH223" s="310" t="s">
        <v>682</v>
      </c>
      <c r="AI223" s="301">
        <v>45327</v>
      </c>
      <c r="AJ223" s="301">
        <v>45327</v>
      </c>
      <c r="AK223" s="302">
        <v>5</v>
      </c>
      <c r="AL223" s="303" t="s">
        <v>241</v>
      </c>
      <c r="AM223" s="304" t="s">
        <v>242</v>
      </c>
      <c r="AN223" s="305">
        <v>4660290</v>
      </c>
      <c r="AO223" s="305">
        <v>4660290</v>
      </c>
      <c r="AP223" s="303" t="s">
        <v>244</v>
      </c>
      <c r="AQ223" s="303" t="s">
        <v>245</v>
      </c>
      <c r="AR223" s="360" t="s">
        <v>246</v>
      </c>
      <c r="AS223" s="306" t="s">
        <v>247</v>
      </c>
      <c r="AT223" s="307" t="s">
        <v>372</v>
      </c>
      <c r="AU223" s="308" t="s">
        <v>248</v>
      </c>
      <c r="AV223" s="361" t="s">
        <v>249</v>
      </c>
      <c r="AW223" s="303" t="s">
        <v>244</v>
      </c>
      <c r="AX223" s="303" t="s">
        <v>244</v>
      </c>
      <c r="AY223" s="394" t="s">
        <v>250</v>
      </c>
      <c r="AZ223" s="394" t="s">
        <v>251</v>
      </c>
      <c r="BA223" s="394" t="s">
        <v>252</v>
      </c>
      <c r="BB223" s="394" t="s">
        <v>250</v>
      </c>
      <c r="BC223" s="394"/>
      <c r="BD223" s="394"/>
    </row>
    <row r="224" spans="1:56" ht="48" x14ac:dyDescent="0.2">
      <c r="A224" s="257">
        <v>222</v>
      </c>
      <c r="B224" s="299" t="s">
        <v>90</v>
      </c>
      <c r="C224" s="299" t="s">
        <v>78</v>
      </c>
      <c r="D224" s="299" t="s">
        <v>375</v>
      </c>
      <c r="E224" s="299"/>
      <c r="F224" s="350" t="s">
        <v>383</v>
      </c>
      <c r="G224" s="350" t="s">
        <v>374</v>
      </c>
      <c r="H224" s="45" t="s">
        <v>69</v>
      </c>
      <c r="I224" s="299"/>
      <c r="J224" s="271">
        <v>1967592.5925925926</v>
      </c>
      <c r="K224" s="300">
        <v>5.0000000000000044E-2</v>
      </c>
      <c r="L224" s="402">
        <v>932058</v>
      </c>
      <c r="M224" s="299">
        <v>1</v>
      </c>
      <c r="N224" s="299" t="s">
        <v>686</v>
      </c>
      <c r="O224" s="250">
        <v>45339</v>
      </c>
      <c r="P224" s="316">
        <v>45472</v>
      </c>
      <c r="Q224" s="403">
        <v>4660290</v>
      </c>
      <c r="R224" s="317"/>
      <c r="S224" s="317"/>
      <c r="T224" s="403">
        <v>0</v>
      </c>
      <c r="U224" s="404">
        <v>5</v>
      </c>
      <c r="V224" s="396">
        <v>4660290</v>
      </c>
      <c r="W224" s="405">
        <v>1750000000</v>
      </c>
      <c r="X224" s="353">
        <v>-0.43899999999999995</v>
      </c>
      <c r="Y224" s="376"/>
      <c r="Z224" s="376" t="s">
        <v>376</v>
      </c>
      <c r="AA224" s="405">
        <v>981750000</v>
      </c>
      <c r="AB224" s="270" t="s">
        <v>243</v>
      </c>
      <c r="AC224" s="393" t="s">
        <v>373</v>
      </c>
      <c r="AD224" s="393" t="s">
        <v>361</v>
      </c>
      <c r="AE224" s="358" t="s">
        <v>244</v>
      </c>
      <c r="AF224" s="399" t="str">
        <f t="shared" si="87"/>
        <v>CLE-222</v>
      </c>
      <c r="AG224" s="270">
        <v>80111600</v>
      </c>
      <c r="AH224" s="310" t="s">
        <v>682</v>
      </c>
      <c r="AI224" s="301">
        <v>45327</v>
      </c>
      <c r="AJ224" s="301">
        <v>45327</v>
      </c>
      <c r="AK224" s="302">
        <v>5</v>
      </c>
      <c r="AL224" s="303" t="s">
        <v>241</v>
      </c>
      <c r="AM224" s="304" t="s">
        <v>242</v>
      </c>
      <c r="AN224" s="305">
        <v>4660290</v>
      </c>
      <c r="AO224" s="305">
        <v>4660290</v>
      </c>
      <c r="AP224" s="303" t="s">
        <v>244</v>
      </c>
      <c r="AQ224" s="303" t="s">
        <v>245</v>
      </c>
      <c r="AR224" s="360" t="s">
        <v>246</v>
      </c>
      <c r="AS224" s="306" t="s">
        <v>247</v>
      </c>
      <c r="AT224" s="307" t="s">
        <v>372</v>
      </c>
      <c r="AU224" s="308" t="s">
        <v>248</v>
      </c>
      <c r="AV224" s="361" t="s">
        <v>249</v>
      </c>
      <c r="AW224" s="303" t="s">
        <v>244</v>
      </c>
      <c r="AX224" s="303" t="s">
        <v>244</v>
      </c>
      <c r="AY224" s="394" t="s">
        <v>250</v>
      </c>
      <c r="AZ224" s="394" t="s">
        <v>251</v>
      </c>
      <c r="BA224" s="394" t="s">
        <v>252</v>
      </c>
      <c r="BB224" s="394" t="s">
        <v>250</v>
      </c>
      <c r="BC224" s="394"/>
      <c r="BD224" s="394"/>
    </row>
    <row r="225" spans="1:56" ht="48" x14ac:dyDescent="0.2">
      <c r="A225" s="257">
        <v>223</v>
      </c>
      <c r="B225" s="299" t="s">
        <v>90</v>
      </c>
      <c r="C225" s="299" t="s">
        <v>78</v>
      </c>
      <c r="D225" s="299" t="s">
        <v>375</v>
      </c>
      <c r="E225" s="299"/>
      <c r="F225" s="350" t="s">
        <v>383</v>
      </c>
      <c r="G225" s="350" t="s">
        <v>374</v>
      </c>
      <c r="H225" s="45" t="s">
        <v>69</v>
      </c>
      <c r="I225" s="299"/>
      <c r="J225" s="271">
        <v>1967592.5925925926</v>
      </c>
      <c r="K225" s="300">
        <v>5.0000000000000044E-2</v>
      </c>
      <c r="L225" s="402">
        <v>932058</v>
      </c>
      <c r="M225" s="299">
        <v>1</v>
      </c>
      <c r="N225" s="299" t="s">
        <v>686</v>
      </c>
      <c r="O225" s="250">
        <v>45339</v>
      </c>
      <c r="P225" s="316">
        <v>45472</v>
      </c>
      <c r="Q225" s="403">
        <v>4660290</v>
      </c>
      <c r="R225" s="317"/>
      <c r="S225" s="317"/>
      <c r="T225" s="403">
        <v>0</v>
      </c>
      <c r="U225" s="404">
        <v>5</v>
      </c>
      <c r="V225" s="396">
        <v>4660290</v>
      </c>
      <c r="W225" s="405">
        <v>1750000000</v>
      </c>
      <c r="X225" s="353">
        <v>-0.43899999999999995</v>
      </c>
      <c r="Y225" s="376"/>
      <c r="Z225" s="376" t="s">
        <v>376</v>
      </c>
      <c r="AA225" s="405">
        <v>981750000</v>
      </c>
      <c r="AB225" s="270" t="s">
        <v>243</v>
      </c>
      <c r="AC225" s="393" t="s">
        <v>373</v>
      </c>
      <c r="AD225" s="393" t="s">
        <v>361</v>
      </c>
      <c r="AE225" s="358" t="s">
        <v>244</v>
      </c>
      <c r="AF225" s="399" t="str">
        <f t="shared" si="87"/>
        <v>CLE-223</v>
      </c>
      <c r="AG225" s="270">
        <v>80111600</v>
      </c>
      <c r="AH225" s="310" t="s">
        <v>682</v>
      </c>
      <c r="AI225" s="301">
        <v>45327</v>
      </c>
      <c r="AJ225" s="301">
        <v>45327</v>
      </c>
      <c r="AK225" s="302">
        <v>5</v>
      </c>
      <c r="AL225" s="303" t="s">
        <v>241</v>
      </c>
      <c r="AM225" s="304" t="s">
        <v>242</v>
      </c>
      <c r="AN225" s="305">
        <v>4660290</v>
      </c>
      <c r="AO225" s="305">
        <v>4660290</v>
      </c>
      <c r="AP225" s="303" t="s">
        <v>244</v>
      </c>
      <c r="AQ225" s="303" t="s">
        <v>245</v>
      </c>
      <c r="AR225" s="360" t="s">
        <v>246</v>
      </c>
      <c r="AS225" s="306" t="s">
        <v>247</v>
      </c>
      <c r="AT225" s="307" t="s">
        <v>372</v>
      </c>
      <c r="AU225" s="308" t="s">
        <v>248</v>
      </c>
      <c r="AV225" s="361" t="s">
        <v>249</v>
      </c>
      <c r="AW225" s="303" t="s">
        <v>244</v>
      </c>
      <c r="AX225" s="303" t="s">
        <v>244</v>
      </c>
      <c r="AY225" s="394" t="s">
        <v>250</v>
      </c>
      <c r="AZ225" s="394" t="s">
        <v>251</v>
      </c>
      <c r="BA225" s="394" t="s">
        <v>252</v>
      </c>
      <c r="BB225" s="394" t="s">
        <v>250</v>
      </c>
      <c r="BC225" s="394"/>
      <c r="BD225" s="394"/>
    </row>
    <row r="226" spans="1:56" ht="48" x14ac:dyDescent="0.2">
      <c r="A226" s="257">
        <v>224</v>
      </c>
      <c r="B226" s="299" t="s">
        <v>90</v>
      </c>
      <c r="C226" s="299" t="s">
        <v>78</v>
      </c>
      <c r="D226" s="299" t="s">
        <v>375</v>
      </c>
      <c r="E226" s="299"/>
      <c r="F226" s="350" t="s">
        <v>383</v>
      </c>
      <c r="G226" s="350" t="s">
        <v>374</v>
      </c>
      <c r="H226" s="45" t="s">
        <v>67</v>
      </c>
      <c r="I226" s="299"/>
      <c r="J226" s="271">
        <v>1967592.5925925926</v>
      </c>
      <c r="K226" s="300">
        <v>5.0000000000000044E-2</v>
      </c>
      <c r="L226" s="402">
        <v>1090695</v>
      </c>
      <c r="M226" s="299">
        <v>1</v>
      </c>
      <c r="N226" s="299" t="s">
        <v>686</v>
      </c>
      <c r="O226" s="250">
        <v>45339</v>
      </c>
      <c r="P226" s="316">
        <v>45472</v>
      </c>
      <c r="Q226" s="403">
        <v>5453475</v>
      </c>
      <c r="R226" s="317"/>
      <c r="S226" s="317"/>
      <c r="T226" s="403">
        <v>0</v>
      </c>
      <c r="U226" s="404">
        <v>5</v>
      </c>
      <c r="V226" s="396">
        <v>5453475</v>
      </c>
      <c r="W226" s="405">
        <v>1750000000</v>
      </c>
      <c r="X226" s="353">
        <v>-0.43899999999999995</v>
      </c>
      <c r="Y226" s="376"/>
      <c r="Z226" s="376" t="s">
        <v>376</v>
      </c>
      <c r="AA226" s="405">
        <v>981750000</v>
      </c>
      <c r="AB226" s="270" t="s">
        <v>243</v>
      </c>
      <c r="AC226" s="393" t="s">
        <v>373</v>
      </c>
      <c r="AD226" s="393" t="s">
        <v>361</v>
      </c>
      <c r="AE226" s="358" t="s">
        <v>244</v>
      </c>
      <c r="AF226" s="399" t="str">
        <f t="shared" si="87"/>
        <v>CLE-224</v>
      </c>
      <c r="AG226" s="270">
        <v>80111600</v>
      </c>
      <c r="AH226" s="310" t="s">
        <v>682</v>
      </c>
      <c r="AI226" s="301">
        <v>45327</v>
      </c>
      <c r="AJ226" s="301">
        <v>45327</v>
      </c>
      <c r="AK226" s="302">
        <v>5</v>
      </c>
      <c r="AL226" s="303" t="s">
        <v>241</v>
      </c>
      <c r="AM226" s="304" t="s">
        <v>242</v>
      </c>
      <c r="AN226" s="305">
        <v>5453475</v>
      </c>
      <c r="AO226" s="305">
        <v>5453475</v>
      </c>
      <c r="AP226" s="303" t="s">
        <v>244</v>
      </c>
      <c r="AQ226" s="303" t="s">
        <v>245</v>
      </c>
      <c r="AR226" s="360" t="s">
        <v>246</v>
      </c>
      <c r="AS226" s="306" t="s">
        <v>247</v>
      </c>
      <c r="AT226" s="307" t="s">
        <v>372</v>
      </c>
      <c r="AU226" s="308" t="s">
        <v>248</v>
      </c>
      <c r="AV226" s="361" t="s">
        <v>249</v>
      </c>
      <c r="AW226" s="303" t="s">
        <v>244</v>
      </c>
      <c r="AX226" s="303" t="s">
        <v>244</v>
      </c>
      <c r="AY226" s="394" t="s">
        <v>250</v>
      </c>
      <c r="AZ226" s="394" t="s">
        <v>251</v>
      </c>
      <c r="BA226" s="394" t="s">
        <v>252</v>
      </c>
      <c r="BB226" s="394" t="s">
        <v>250</v>
      </c>
      <c r="BC226" s="394"/>
      <c r="BD226" s="394"/>
    </row>
    <row r="227" spans="1:56" ht="48" x14ac:dyDescent="0.2">
      <c r="A227" s="257">
        <v>225</v>
      </c>
      <c r="B227" s="299" t="s">
        <v>90</v>
      </c>
      <c r="C227" s="299" t="s">
        <v>78</v>
      </c>
      <c r="D227" s="299" t="s">
        <v>375</v>
      </c>
      <c r="E227" s="299"/>
      <c r="F227" s="350" t="s">
        <v>383</v>
      </c>
      <c r="G227" s="350" t="s">
        <v>374</v>
      </c>
      <c r="H227" s="45" t="s">
        <v>67</v>
      </c>
      <c r="I227" s="299"/>
      <c r="J227" s="271">
        <v>1967592.5925925926</v>
      </c>
      <c r="K227" s="300">
        <v>5.0000000000000044E-2</v>
      </c>
      <c r="L227" s="402">
        <v>1090695</v>
      </c>
      <c r="M227" s="299">
        <v>1</v>
      </c>
      <c r="N227" s="299" t="s">
        <v>686</v>
      </c>
      <c r="O227" s="250">
        <v>45339</v>
      </c>
      <c r="P227" s="316">
        <v>45472</v>
      </c>
      <c r="Q227" s="403">
        <v>5453475</v>
      </c>
      <c r="R227" s="317"/>
      <c r="S227" s="317"/>
      <c r="T227" s="403">
        <v>0</v>
      </c>
      <c r="U227" s="404">
        <v>5</v>
      </c>
      <c r="V227" s="396">
        <v>5453475</v>
      </c>
      <c r="W227" s="405">
        <v>1750000000</v>
      </c>
      <c r="X227" s="353">
        <v>-0.43899999999999995</v>
      </c>
      <c r="Y227" s="376"/>
      <c r="Z227" s="376" t="s">
        <v>376</v>
      </c>
      <c r="AA227" s="405">
        <v>981750000</v>
      </c>
      <c r="AB227" s="270" t="s">
        <v>243</v>
      </c>
      <c r="AC227" s="393" t="s">
        <v>373</v>
      </c>
      <c r="AD227" s="393" t="s">
        <v>361</v>
      </c>
      <c r="AE227" s="358" t="s">
        <v>244</v>
      </c>
      <c r="AF227" s="399" t="str">
        <f t="shared" si="87"/>
        <v>CLE-225</v>
      </c>
      <c r="AG227" s="270">
        <v>80111600</v>
      </c>
      <c r="AH227" s="310" t="s">
        <v>682</v>
      </c>
      <c r="AI227" s="301">
        <v>45327</v>
      </c>
      <c r="AJ227" s="301">
        <v>45327</v>
      </c>
      <c r="AK227" s="302">
        <v>5</v>
      </c>
      <c r="AL227" s="303" t="s">
        <v>241</v>
      </c>
      <c r="AM227" s="304" t="s">
        <v>242</v>
      </c>
      <c r="AN227" s="305">
        <v>5453475</v>
      </c>
      <c r="AO227" s="305">
        <v>5453475</v>
      </c>
      <c r="AP227" s="303" t="s">
        <v>244</v>
      </c>
      <c r="AQ227" s="303" t="s">
        <v>245</v>
      </c>
      <c r="AR227" s="360" t="s">
        <v>246</v>
      </c>
      <c r="AS227" s="306" t="s">
        <v>247</v>
      </c>
      <c r="AT227" s="307" t="s">
        <v>372</v>
      </c>
      <c r="AU227" s="308" t="s">
        <v>248</v>
      </c>
      <c r="AV227" s="361" t="s">
        <v>249</v>
      </c>
      <c r="AW227" s="303" t="s">
        <v>244</v>
      </c>
      <c r="AX227" s="303" t="s">
        <v>244</v>
      </c>
      <c r="AY227" s="394" t="s">
        <v>250</v>
      </c>
      <c r="AZ227" s="394" t="s">
        <v>251</v>
      </c>
      <c r="BA227" s="394" t="s">
        <v>252</v>
      </c>
      <c r="BB227" s="394" t="s">
        <v>250</v>
      </c>
      <c r="BC227" s="394"/>
      <c r="BD227" s="394"/>
    </row>
    <row r="228" spans="1:56" ht="48" x14ac:dyDescent="0.2">
      <c r="A228" s="257">
        <v>226</v>
      </c>
      <c r="B228" s="299" t="s">
        <v>90</v>
      </c>
      <c r="C228" s="299" t="s">
        <v>78</v>
      </c>
      <c r="D228" s="299" t="s">
        <v>375</v>
      </c>
      <c r="E228" s="299"/>
      <c r="F228" s="350" t="s">
        <v>383</v>
      </c>
      <c r="G228" s="350" t="s">
        <v>374</v>
      </c>
      <c r="H228" s="45" t="s">
        <v>69</v>
      </c>
      <c r="I228" s="299"/>
      <c r="J228" s="271">
        <v>1967592.5925925926</v>
      </c>
      <c r="K228" s="300">
        <v>5.0000000000000044E-2</v>
      </c>
      <c r="L228" s="402">
        <v>932058</v>
      </c>
      <c r="M228" s="299">
        <v>1</v>
      </c>
      <c r="N228" s="299" t="s">
        <v>686</v>
      </c>
      <c r="O228" s="250">
        <v>45339</v>
      </c>
      <c r="P228" s="316">
        <v>45472</v>
      </c>
      <c r="Q228" s="403">
        <v>4660290</v>
      </c>
      <c r="R228" s="317"/>
      <c r="S228" s="317"/>
      <c r="T228" s="403">
        <v>0</v>
      </c>
      <c r="U228" s="404">
        <v>5</v>
      </c>
      <c r="V228" s="396">
        <v>4660290</v>
      </c>
      <c r="W228" s="405">
        <v>1750000000</v>
      </c>
      <c r="X228" s="353">
        <v>-0.43899999999999995</v>
      </c>
      <c r="Y228" s="376"/>
      <c r="Z228" s="376" t="s">
        <v>376</v>
      </c>
      <c r="AA228" s="405">
        <v>981750000</v>
      </c>
      <c r="AB228" s="270" t="s">
        <v>243</v>
      </c>
      <c r="AC228" s="393" t="s">
        <v>373</v>
      </c>
      <c r="AD228" s="393" t="s">
        <v>361</v>
      </c>
      <c r="AE228" s="358" t="s">
        <v>244</v>
      </c>
      <c r="AF228" s="399" t="str">
        <f t="shared" si="87"/>
        <v>CLE-226</v>
      </c>
      <c r="AG228" s="270">
        <v>80111600</v>
      </c>
      <c r="AH228" s="310" t="s">
        <v>682</v>
      </c>
      <c r="AI228" s="301">
        <v>45327</v>
      </c>
      <c r="AJ228" s="301">
        <v>45327</v>
      </c>
      <c r="AK228" s="302">
        <v>5</v>
      </c>
      <c r="AL228" s="303" t="s">
        <v>241</v>
      </c>
      <c r="AM228" s="304" t="s">
        <v>242</v>
      </c>
      <c r="AN228" s="305">
        <v>4660290</v>
      </c>
      <c r="AO228" s="305">
        <v>4660290</v>
      </c>
      <c r="AP228" s="303" t="s">
        <v>244</v>
      </c>
      <c r="AQ228" s="303" t="s">
        <v>245</v>
      </c>
      <c r="AR228" s="360" t="s">
        <v>246</v>
      </c>
      <c r="AS228" s="306" t="s">
        <v>247</v>
      </c>
      <c r="AT228" s="307" t="s">
        <v>372</v>
      </c>
      <c r="AU228" s="308" t="s">
        <v>248</v>
      </c>
      <c r="AV228" s="361" t="s">
        <v>249</v>
      </c>
      <c r="AW228" s="303" t="s">
        <v>244</v>
      </c>
      <c r="AX228" s="303" t="s">
        <v>244</v>
      </c>
      <c r="AY228" s="394" t="s">
        <v>250</v>
      </c>
      <c r="AZ228" s="394" t="s">
        <v>251</v>
      </c>
      <c r="BA228" s="394" t="s">
        <v>252</v>
      </c>
      <c r="BB228" s="394" t="s">
        <v>250</v>
      </c>
      <c r="BC228" s="394"/>
      <c r="BD228" s="394"/>
    </row>
    <row r="229" spans="1:56" ht="48" x14ac:dyDescent="0.2">
      <c r="A229" s="257">
        <v>227</v>
      </c>
      <c r="B229" s="299" t="s">
        <v>90</v>
      </c>
      <c r="C229" s="299" t="s">
        <v>78</v>
      </c>
      <c r="D229" s="299" t="s">
        <v>375</v>
      </c>
      <c r="E229" s="299"/>
      <c r="F229" s="350" t="s">
        <v>383</v>
      </c>
      <c r="G229" s="350" t="s">
        <v>374</v>
      </c>
      <c r="H229" s="45" t="s">
        <v>69</v>
      </c>
      <c r="I229" s="299"/>
      <c r="J229" s="271">
        <v>1967592.5925925926</v>
      </c>
      <c r="K229" s="300">
        <v>5.0000000000000044E-2</v>
      </c>
      <c r="L229" s="402">
        <v>932058</v>
      </c>
      <c r="M229" s="299">
        <v>1</v>
      </c>
      <c r="N229" s="299" t="s">
        <v>686</v>
      </c>
      <c r="O229" s="250">
        <v>45339</v>
      </c>
      <c r="P229" s="316">
        <v>45472</v>
      </c>
      <c r="Q229" s="403">
        <v>4660290</v>
      </c>
      <c r="R229" s="317"/>
      <c r="S229" s="317"/>
      <c r="T229" s="403">
        <v>0</v>
      </c>
      <c r="U229" s="404">
        <v>5</v>
      </c>
      <c r="V229" s="396">
        <v>4660290</v>
      </c>
      <c r="W229" s="405">
        <v>1750000000</v>
      </c>
      <c r="X229" s="353">
        <v>-0.43899999999999995</v>
      </c>
      <c r="Y229" s="376"/>
      <c r="Z229" s="376" t="s">
        <v>376</v>
      </c>
      <c r="AA229" s="405">
        <v>981750000</v>
      </c>
      <c r="AB229" s="270" t="s">
        <v>243</v>
      </c>
      <c r="AC229" s="393" t="s">
        <v>373</v>
      </c>
      <c r="AD229" s="393" t="s">
        <v>361</v>
      </c>
      <c r="AE229" s="358" t="s">
        <v>244</v>
      </c>
      <c r="AF229" s="399" t="str">
        <f t="shared" si="87"/>
        <v>CLE-227</v>
      </c>
      <c r="AG229" s="270">
        <v>80111600</v>
      </c>
      <c r="AH229" s="310" t="s">
        <v>682</v>
      </c>
      <c r="AI229" s="301">
        <v>45327</v>
      </c>
      <c r="AJ229" s="301">
        <v>45327</v>
      </c>
      <c r="AK229" s="302">
        <v>5</v>
      </c>
      <c r="AL229" s="303" t="s">
        <v>241</v>
      </c>
      <c r="AM229" s="304" t="s">
        <v>242</v>
      </c>
      <c r="AN229" s="305">
        <v>4660290</v>
      </c>
      <c r="AO229" s="305">
        <v>4660290</v>
      </c>
      <c r="AP229" s="303" t="s">
        <v>244</v>
      </c>
      <c r="AQ229" s="303" t="s">
        <v>245</v>
      </c>
      <c r="AR229" s="360" t="s">
        <v>246</v>
      </c>
      <c r="AS229" s="306" t="s">
        <v>247</v>
      </c>
      <c r="AT229" s="307" t="s">
        <v>372</v>
      </c>
      <c r="AU229" s="308" t="s">
        <v>248</v>
      </c>
      <c r="AV229" s="361" t="s">
        <v>249</v>
      </c>
      <c r="AW229" s="303" t="s">
        <v>244</v>
      </c>
      <c r="AX229" s="303" t="s">
        <v>244</v>
      </c>
      <c r="AY229" s="394" t="s">
        <v>250</v>
      </c>
      <c r="AZ229" s="394" t="s">
        <v>251</v>
      </c>
      <c r="BA229" s="394" t="s">
        <v>252</v>
      </c>
      <c r="BB229" s="394" t="s">
        <v>250</v>
      </c>
      <c r="BC229" s="394"/>
      <c r="BD229" s="394"/>
    </row>
    <row r="230" spans="1:56" ht="48" x14ac:dyDescent="0.2">
      <c r="A230" s="257">
        <v>228</v>
      </c>
      <c r="B230" s="299" t="s">
        <v>90</v>
      </c>
      <c r="C230" s="299" t="s">
        <v>78</v>
      </c>
      <c r="D230" s="299" t="s">
        <v>375</v>
      </c>
      <c r="E230" s="299"/>
      <c r="F230" s="350" t="s">
        <v>383</v>
      </c>
      <c r="G230" s="350" t="s">
        <v>374</v>
      </c>
      <c r="H230" s="45" t="s">
        <v>69</v>
      </c>
      <c r="I230" s="299"/>
      <c r="J230" s="271">
        <v>1967592.5925925926</v>
      </c>
      <c r="K230" s="300">
        <v>5.0000000000000044E-2</v>
      </c>
      <c r="L230" s="402">
        <v>932058</v>
      </c>
      <c r="M230" s="299">
        <v>1</v>
      </c>
      <c r="N230" s="299" t="s">
        <v>686</v>
      </c>
      <c r="O230" s="250">
        <v>45339</v>
      </c>
      <c r="P230" s="316">
        <v>45472</v>
      </c>
      <c r="Q230" s="403">
        <v>4660290</v>
      </c>
      <c r="R230" s="317"/>
      <c r="S230" s="317"/>
      <c r="T230" s="403">
        <v>0</v>
      </c>
      <c r="U230" s="404">
        <v>5</v>
      </c>
      <c r="V230" s="396">
        <v>4660290</v>
      </c>
      <c r="W230" s="405">
        <v>1750000000</v>
      </c>
      <c r="X230" s="353">
        <v>-0.43899999999999995</v>
      </c>
      <c r="Y230" s="376"/>
      <c r="Z230" s="376" t="s">
        <v>376</v>
      </c>
      <c r="AA230" s="405">
        <v>981750000</v>
      </c>
      <c r="AB230" s="270" t="s">
        <v>243</v>
      </c>
      <c r="AC230" s="393" t="s">
        <v>373</v>
      </c>
      <c r="AD230" s="393" t="s">
        <v>361</v>
      </c>
      <c r="AE230" s="358" t="s">
        <v>244</v>
      </c>
      <c r="AF230" s="399" t="str">
        <f t="shared" si="87"/>
        <v>CLE-228</v>
      </c>
      <c r="AG230" s="270">
        <v>80111600</v>
      </c>
      <c r="AH230" s="310" t="s">
        <v>682</v>
      </c>
      <c r="AI230" s="301">
        <v>45327</v>
      </c>
      <c r="AJ230" s="301">
        <v>45327</v>
      </c>
      <c r="AK230" s="302">
        <v>5</v>
      </c>
      <c r="AL230" s="303" t="s">
        <v>241</v>
      </c>
      <c r="AM230" s="304" t="s">
        <v>242</v>
      </c>
      <c r="AN230" s="305">
        <v>4660290</v>
      </c>
      <c r="AO230" s="305">
        <v>4660290</v>
      </c>
      <c r="AP230" s="303" t="s">
        <v>244</v>
      </c>
      <c r="AQ230" s="303" t="s">
        <v>245</v>
      </c>
      <c r="AR230" s="360" t="s">
        <v>246</v>
      </c>
      <c r="AS230" s="306" t="s">
        <v>247</v>
      </c>
      <c r="AT230" s="307" t="s">
        <v>372</v>
      </c>
      <c r="AU230" s="308" t="s">
        <v>248</v>
      </c>
      <c r="AV230" s="361" t="s">
        <v>249</v>
      </c>
      <c r="AW230" s="303" t="s">
        <v>244</v>
      </c>
      <c r="AX230" s="303" t="s">
        <v>244</v>
      </c>
      <c r="AY230" s="394" t="s">
        <v>250</v>
      </c>
      <c r="AZ230" s="394" t="s">
        <v>251</v>
      </c>
      <c r="BA230" s="394" t="s">
        <v>252</v>
      </c>
      <c r="BB230" s="394" t="s">
        <v>250</v>
      </c>
      <c r="BC230" s="394"/>
      <c r="BD230" s="394"/>
    </row>
    <row r="231" spans="1:56" ht="48" x14ac:dyDescent="0.2">
      <c r="A231" s="257">
        <v>229</v>
      </c>
      <c r="B231" s="299" t="s">
        <v>90</v>
      </c>
      <c r="C231" s="299" t="s">
        <v>78</v>
      </c>
      <c r="D231" s="299" t="s">
        <v>375</v>
      </c>
      <c r="E231" s="299"/>
      <c r="F231" s="350" t="s">
        <v>383</v>
      </c>
      <c r="G231" s="350" t="s">
        <v>374</v>
      </c>
      <c r="H231" s="45" t="s">
        <v>67</v>
      </c>
      <c r="I231" s="299"/>
      <c r="J231" s="271">
        <v>1967592.5925925926</v>
      </c>
      <c r="K231" s="300">
        <v>5.0000000000000044E-2</v>
      </c>
      <c r="L231" s="402">
        <v>1090695</v>
      </c>
      <c r="M231" s="299">
        <v>1</v>
      </c>
      <c r="N231" s="299" t="s">
        <v>686</v>
      </c>
      <c r="O231" s="250">
        <v>45339</v>
      </c>
      <c r="P231" s="316">
        <v>45472</v>
      </c>
      <c r="Q231" s="403">
        <v>5453475</v>
      </c>
      <c r="R231" s="317"/>
      <c r="S231" s="317"/>
      <c r="T231" s="403">
        <v>0</v>
      </c>
      <c r="U231" s="404">
        <v>5</v>
      </c>
      <c r="V231" s="396">
        <v>5453475</v>
      </c>
      <c r="W231" s="405">
        <v>1750000000</v>
      </c>
      <c r="X231" s="353">
        <v>-0.43899999999999995</v>
      </c>
      <c r="Y231" s="376"/>
      <c r="Z231" s="376" t="s">
        <v>376</v>
      </c>
      <c r="AA231" s="405">
        <v>981750000</v>
      </c>
      <c r="AB231" s="270" t="s">
        <v>243</v>
      </c>
      <c r="AC231" s="393" t="s">
        <v>373</v>
      </c>
      <c r="AD231" s="393" t="s">
        <v>361</v>
      </c>
      <c r="AE231" s="358" t="s">
        <v>244</v>
      </c>
      <c r="AF231" s="399" t="str">
        <f t="shared" si="87"/>
        <v>CLE-229</v>
      </c>
      <c r="AG231" s="270">
        <v>80111600</v>
      </c>
      <c r="AH231" s="310" t="s">
        <v>682</v>
      </c>
      <c r="AI231" s="301">
        <v>45327</v>
      </c>
      <c r="AJ231" s="301">
        <v>45327</v>
      </c>
      <c r="AK231" s="302">
        <v>5</v>
      </c>
      <c r="AL231" s="303" t="s">
        <v>241</v>
      </c>
      <c r="AM231" s="304" t="s">
        <v>242</v>
      </c>
      <c r="AN231" s="305">
        <v>5453475</v>
      </c>
      <c r="AO231" s="305">
        <v>5453475</v>
      </c>
      <c r="AP231" s="303" t="s">
        <v>244</v>
      </c>
      <c r="AQ231" s="303" t="s">
        <v>245</v>
      </c>
      <c r="AR231" s="360" t="s">
        <v>246</v>
      </c>
      <c r="AS231" s="306" t="s">
        <v>247</v>
      </c>
      <c r="AT231" s="307" t="s">
        <v>372</v>
      </c>
      <c r="AU231" s="308" t="s">
        <v>248</v>
      </c>
      <c r="AV231" s="361" t="s">
        <v>249</v>
      </c>
      <c r="AW231" s="303" t="s">
        <v>244</v>
      </c>
      <c r="AX231" s="303" t="s">
        <v>244</v>
      </c>
      <c r="AY231" s="394" t="s">
        <v>250</v>
      </c>
      <c r="AZ231" s="394" t="s">
        <v>251</v>
      </c>
      <c r="BA231" s="394" t="s">
        <v>252</v>
      </c>
      <c r="BB231" s="394" t="s">
        <v>250</v>
      </c>
      <c r="BC231" s="394"/>
      <c r="BD231" s="394"/>
    </row>
    <row r="232" spans="1:56" ht="48" x14ac:dyDescent="0.2">
      <c r="A232" s="257">
        <v>230</v>
      </c>
      <c r="B232" s="299" t="s">
        <v>90</v>
      </c>
      <c r="C232" s="299" t="s">
        <v>78</v>
      </c>
      <c r="D232" s="299" t="s">
        <v>375</v>
      </c>
      <c r="E232" s="299"/>
      <c r="F232" s="350" t="s">
        <v>383</v>
      </c>
      <c r="G232" s="350" t="s">
        <v>374</v>
      </c>
      <c r="H232" s="45" t="s">
        <v>69</v>
      </c>
      <c r="I232" s="299"/>
      <c r="J232" s="271">
        <v>1967592.5925925926</v>
      </c>
      <c r="K232" s="300">
        <v>5.0000000000000044E-2</v>
      </c>
      <c r="L232" s="402">
        <v>932058</v>
      </c>
      <c r="M232" s="299">
        <v>1</v>
      </c>
      <c r="N232" s="299" t="s">
        <v>686</v>
      </c>
      <c r="O232" s="250">
        <v>45339</v>
      </c>
      <c r="P232" s="316">
        <v>45472</v>
      </c>
      <c r="Q232" s="403">
        <v>4660290</v>
      </c>
      <c r="R232" s="317"/>
      <c r="S232" s="317"/>
      <c r="T232" s="403">
        <v>0</v>
      </c>
      <c r="U232" s="404">
        <v>5</v>
      </c>
      <c r="V232" s="396">
        <v>4660290</v>
      </c>
      <c r="W232" s="405">
        <v>1750000000</v>
      </c>
      <c r="X232" s="353">
        <v>-0.43899999999999995</v>
      </c>
      <c r="Y232" s="376"/>
      <c r="Z232" s="376" t="s">
        <v>376</v>
      </c>
      <c r="AA232" s="405">
        <v>981750000</v>
      </c>
      <c r="AB232" s="270" t="s">
        <v>243</v>
      </c>
      <c r="AC232" s="393" t="s">
        <v>373</v>
      </c>
      <c r="AD232" s="393" t="s">
        <v>361</v>
      </c>
      <c r="AE232" s="358" t="s">
        <v>244</v>
      </c>
      <c r="AF232" s="399" t="str">
        <f t="shared" si="87"/>
        <v>CLE-230</v>
      </c>
      <c r="AG232" s="270">
        <v>80111600</v>
      </c>
      <c r="AH232" s="310" t="s">
        <v>682</v>
      </c>
      <c r="AI232" s="301">
        <v>45327</v>
      </c>
      <c r="AJ232" s="301">
        <v>45327</v>
      </c>
      <c r="AK232" s="302">
        <v>5</v>
      </c>
      <c r="AL232" s="303" t="s">
        <v>241</v>
      </c>
      <c r="AM232" s="304" t="s">
        <v>242</v>
      </c>
      <c r="AN232" s="305">
        <v>4660290</v>
      </c>
      <c r="AO232" s="305">
        <v>4660290</v>
      </c>
      <c r="AP232" s="303" t="s">
        <v>244</v>
      </c>
      <c r="AQ232" s="303" t="s">
        <v>245</v>
      </c>
      <c r="AR232" s="360" t="s">
        <v>246</v>
      </c>
      <c r="AS232" s="306" t="s">
        <v>247</v>
      </c>
      <c r="AT232" s="307" t="s">
        <v>372</v>
      </c>
      <c r="AU232" s="308" t="s">
        <v>248</v>
      </c>
      <c r="AV232" s="361" t="s">
        <v>249</v>
      </c>
      <c r="AW232" s="303" t="s">
        <v>244</v>
      </c>
      <c r="AX232" s="303" t="s">
        <v>244</v>
      </c>
      <c r="AY232" s="394" t="s">
        <v>250</v>
      </c>
      <c r="AZ232" s="394" t="s">
        <v>251</v>
      </c>
      <c r="BA232" s="394" t="s">
        <v>252</v>
      </c>
      <c r="BB232" s="394" t="s">
        <v>250</v>
      </c>
      <c r="BC232" s="394"/>
      <c r="BD232" s="394"/>
    </row>
    <row r="233" spans="1:56" ht="48" x14ac:dyDescent="0.2">
      <c r="A233" s="257">
        <v>231</v>
      </c>
      <c r="B233" s="299" t="s">
        <v>90</v>
      </c>
      <c r="C233" s="299" t="s">
        <v>78</v>
      </c>
      <c r="D233" s="299" t="s">
        <v>375</v>
      </c>
      <c r="E233" s="299"/>
      <c r="F233" s="350" t="s">
        <v>383</v>
      </c>
      <c r="G233" s="350" t="s">
        <v>374</v>
      </c>
      <c r="H233" s="45" t="s">
        <v>67</v>
      </c>
      <c r="I233" s="299"/>
      <c r="J233" s="271">
        <v>1967592.5925925926</v>
      </c>
      <c r="K233" s="300">
        <v>5.0000000000000044E-2</v>
      </c>
      <c r="L233" s="402">
        <v>1090695</v>
      </c>
      <c r="M233" s="299">
        <v>1</v>
      </c>
      <c r="N233" s="299" t="s">
        <v>686</v>
      </c>
      <c r="O233" s="250">
        <v>45339</v>
      </c>
      <c r="P233" s="316">
        <v>45472</v>
      </c>
      <c r="Q233" s="403">
        <v>5453475</v>
      </c>
      <c r="R233" s="317"/>
      <c r="S233" s="317"/>
      <c r="T233" s="403">
        <v>0</v>
      </c>
      <c r="U233" s="404">
        <v>5</v>
      </c>
      <c r="V233" s="396">
        <v>5453475</v>
      </c>
      <c r="W233" s="405">
        <v>1750000000</v>
      </c>
      <c r="X233" s="353">
        <v>-0.43899999999999995</v>
      </c>
      <c r="Y233" s="376"/>
      <c r="Z233" s="376" t="s">
        <v>376</v>
      </c>
      <c r="AA233" s="405">
        <v>981750000</v>
      </c>
      <c r="AB233" s="270" t="s">
        <v>243</v>
      </c>
      <c r="AC233" s="393" t="s">
        <v>373</v>
      </c>
      <c r="AD233" s="393" t="s">
        <v>361</v>
      </c>
      <c r="AE233" s="358" t="s">
        <v>244</v>
      </c>
      <c r="AF233" s="399" t="str">
        <f t="shared" si="87"/>
        <v>CLE-231</v>
      </c>
      <c r="AG233" s="270">
        <v>80111600</v>
      </c>
      <c r="AH233" s="310" t="s">
        <v>682</v>
      </c>
      <c r="AI233" s="301">
        <v>45327</v>
      </c>
      <c r="AJ233" s="301">
        <v>45327</v>
      </c>
      <c r="AK233" s="302">
        <v>5</v>
      </c>
      <c r="AL233" s="303" t="s">
        <v>241</v>
      </c>
      <c r="AM233" s="304" t="s">
        <v>242</v>
      </c>
      <c r="AN233" s="305">
        <v>5453475</v>
      </c>
      <c r="AO233" s="305">
        <v>5453475</v>
      </c>
      <c r="AP233" s="303" t="s">
        <v>244</v>
      </c>
      <c r="AQ233" s="303" t="s">
        <v>245</v>
      </c>
      <c r="AR233" s="360" t="s">
        <v>246</v>
      </c>
      <c r="AS233" s="306" t="s">
        <v>247</v>
      </c>
      <c r="AT233" s="307" t="s">
        <v>372</v>
      </c>
      <c r="AU233" s="308" t="s">
        <v>248</v>
      </c>
      <c r="AV233" s="361" t="s">
        <v>249</v>
      </c>
      <c r="AW233" s="303" t="s">
        <v>244</v>
      </c>
      <c r="AX233" s="303" t="s">
        <v>244</v>
      </c>
      <c r="AY233" s="394" t="s">
        <v>250</v>
      </c>
      <c r="AZ233" s="394" t="s">
        <v>251</v>
      </c>
      <c r="BA233" s="394" t="s">
        <v>252</v>
      </c>
      <c r="BB233" s="394" t="s">
        <v>250</v>
      </c>
      <c r="BC233" s="394"/>
      <c r="BD233" s="394"/>
    </row>
    <row r="234" spans="1:56" ht="48" x14ac:dyDescent="0.2">
      <c r="A234" s="257">
        <v>232</v>
      </c>
      <c r="B234" s="299" t="s">
        <v>90</v>
      </c>
      <c r="C234" s="299" t="s">
        <v>78</v>
      </c>
      <c r="D234" s="299" t="s">
        <v>375</v>
      </c>
      <c r="E234" s="299"/>
      <c r="F234" s="350" t="s">
        <v>383</v>
      </c>
      <c r="G234" s="350" t="s">
        <v>374</v>
      </c>
      <c r="H234" s="45" t="s">
        <v>69</v>
      </c>
      <c r="I234" s="299"/>
      <c r="J234" s="272">
        <v>1967592.5925925926</v>
      </c>
      <c r="K234" s="300">
        <v>5.0000000000000044E-2</v>
      </c>
      <c r="L234" s="406">
        <v>4414112</v>
      </c>
      <c r="M234" s="299">
        <v>1</v>
      </c>
      <c r="N234" s="299" t="s">
        <v>686</v>
      </c>
      <c r="O234" s="250">
        <v>45339</v>
      </c>
      <c r="P234" s="316">
        <v>45472</v>
      </c>
      <c r="Q234" s="407">
        <v>22070560</v>
      </c>
      <c r="R234" s="317"/>
      <c r="S234" s="317"/>
      <c r="T234" s="407">
        <v>0</v>
      </c>
      <c r="U234" s="408">
        <v>5</v>
      </c>
      <c r="V234" s="396">
        <v>22070560</v>
      </c>
      <c r="W234" s="409">
        <v>1750000000</v>
      </c>
      <c r="X234" s="353">
        <v>-0.43899999999999995</v>
      </c>
      <c r="Y234" s="376"/>
      <c r="Z234" s="376" t="s">
        <v>376</v>
      </c>
      <c r="AA234" s="405">
        <v>981750000</v>
      </c>
      <c r="AB234" s="270" t="s">
        <v>243</v>
      </c>
      <c r="AC234" s="393" t="s">
        <v>373</v>
      </c>
      <c r="AD234" s="393" t="s">
        <v>361</v>
      </c>
      <c r="AE234" s="358" t="s">
        <v>244</v>
      </c>
      <c r="AF234" s="410" t="str">
        <f t="shared" si="87"/>
        <v>CLE-232</v>
      </c>
      <c r="AG234" s="270">
        <v>80111600</v>
      </c>
      <c r="AH234" s="310" t="s">
        <v>682</v>
      </c>
      <c r="AI234" s="301">
        <v>45327</v>
      </c>
      <c r="AJ234" s="301">
        <v>45327</v>
      </c>
      <c r="AK234" s="302">
        <v>5</v>
      </c>
      <c r="AL234" s="303" t="s">
        <v>241</v>
      </c>
      <c r="AM234" s="304" t="s">
        <v>242</v>
      </c>
      <c r="AN234" s="305">
        <v>22070560</v>
      </c>
      <c r="AO234" s="305">
        <v>22070560</v>
      </c>
      <c r="AP234" s="303" t="s">
        <v>244</v>
      </c>
      <c r="AQ234" s="303" t="s">
        <v>245</v>
      </c>
      <c r="AR234" s="360" t="s">
        <v>246</v>
      </c>
      <c r="AS234" s="306" t="s">
        <v>247</v>
      </c>
      <c r="AT234" s="307" t="s">
        <v>372</v>
      </c>
      <c r="AU234" s="308" t="s">
        <v>248</v>
      </c>
      <c r="AV234" s="361" t="s">
        <v>249</v>
      </c>
      <c r="AW234" s="303" t="s">
        <v>244</v>
      </c>
      <c r="AX234" s="303" t="s">
        <v>244</v>
      </c>
      <c r="AY234" s="394" t="s">
        <v>250</v>
      </c>
      <c r="AZ234" s="394" t="s">
        <v>251</v>
      </c>
      <c r="BA234" s="394" t="s">
        <v>252</v>
      </c>
      <c r="BB234" s="394" t="s">
        <v>250</v>
      </c>
      <c r="BC234" s="394"/>
      <c r="BD234" s="394"/>
    </row>
    <row r="235" spans="1:56" ht="48" x14ac:dyDescent="0.2">
      <c r="A235" s="257">
        <v>233</v>
      </c>
      <c r="B235" s="33" t="s">
        <v>63</v>
      </c>
      <c r="C235" s="33" t="s">
        <v>13</v>
      </c>
      <c r="D235" s="33" t="s">
        <v>89</v>
      </c>
      <c r="E235" s="33" t="s">
        <v>44</v>
      </c>
      <c r="F235" s="350" t="s">
        <v>72</v>
      </c>
      <c r="G235" s="350" t="s">
        <v>374</v>
      </c>
      <c r="H235" s="299" t="s">
        <v>690</v>
      </c>
      <c r="I235" s="95"/>
      <c r="J235" s="95">
        <v>2126631</v>
      </c>
      <c r="K235" s="273"/>
      <c r="L235" s="402">
        <v>2126631</v>
      </c>
      <c r="M235" s="299">
        <v>1</v>
      </c>
      <c r="N235" s="299" t="s">
        <v>686</v>
      </c>
      <c r="O235" s="250">
        <v>45329</v>
      </c>
      <c r="P235" s="316">
        <v>45638</v>
      </c>
      <c r="Q235" s="403">
        <v>4253262</v>
      </c>
      <c r="R235" s="99"/>
      <c r="S235" s="138"/>
      <c r="T235" s="407">
        <v>0</v>
      </c>
      <c r="U235" s="408">
        <v>9</v>
      </c>
      <c r="V235" s="396">
        <v>4253262</v>
      </c>
      <c r="W235" s="99"/>
      <c r="X235" s="99"/>
      <c r="Y235" s="99"/>
      <c r="Z235" s="268">
        <v>0</v>
      </c>
      <c r="AA235" s="405">
        <v>4253262</v>
      </c>
      <c r="AB235" s="270" t="s">
        <v>243</v>
      </c>
      <c r="AC235" s="393" t="s">
        <v>15</v>
      </c>
      <c r="AD235" s="204" t="s">
        <v>361</v>
      </c>
      <c r="AE235" s="358" t="s">
        <v>244</v>
      </c>
      <c r="AF235" s="410" t="str">
        <f>"CON-"&amp;A235</f>
        <v>CON-233</v>
      </c>
      <c r="AG235" s="270">
        <v>80111600</v>
      </c>
      <c r="AH235" s="310" t="s">
        <v>691</v>
      </c>
      <c r="AI235" s="301">
        <v>44963</v>
      </c>
      <c r="AJ235" s="301">
        <v>44963</v>
      </c>
      <c r="AK235" s="302">
        <v>9</v>
      </c>
      <c r="AL235" s="63" t="s">
        <v>241</v>
      </c>
      <c r="AM235" s="304" t="s">
        <v>242</v>
      </c>
      <c r="AN235" s="305">
        <v>4253262</v>
      </c>
      <c r="AO235" s="305">
        <v>4253262</v>
      </c>
      <c r="AP235" s="65" t="s">
        <v>244</v>
      </c>
      <c r="AQ235" s="65" t="s">
        <v>245</v>
      </c>
      <c r="AR235" s="360" t="s">
        <v>246</v>
      </c>
      <c r="AS235" s="306" t="s">
        <v>247</v>
      </c>
      <c r="AT235" s="307" t="s">
        <v>89</v>
      </c>
      <c r="AU235" s="308" t="s">
        <v>248</v>
      </c>
      <c r="AV235" s="361" t="s">
        <v>249</v>
      </c>
      <c r="AW235" s="303" t="s">
        <v>244</v>
      </c>
      <c r="AX235" s="303" t="s">
        <v>244</v>
      </c>
      <c r="AY235" s="394" t="s">
        <v>250</v>
      </c>
      <c r="AZ235" s="394" t="s">
        <v>251</v>
      </c>
      <c r="BA235" s="394" t="s">
        <v>252</v>
      </c>
      <c r="BB235" s="394" t="s">
        <v>250</v>
      </c>
      <c r="BC235" s="394"/>
      <c r="BD235" s="394"/>
    </row>
    <row r="236" spans="1:56" ht="46.5" customHeight="1" x14ac:dyDescent="0.2">
      <c r="A236" s="257">
        <v>234</v>
      </c>
      <c r="B236" s="33" t="s">
        <v>63</v>
      </c>
      <c r="C236" s="33" t="s">
        <v>13</v>
      </c>
      <c r="D236" s="33" t="s">
        <v>89</v>
      </c>
      <c r="E236" s="33" t="s">
        <v>44</v>
      </c>
      <c r="F236" s="350" t="s">
        <v>72</v>
      </c>
      <c r="G236" s="350" t="s">
        <v>374</v>
      </c>
      <c r="H236" s="299" t="s">
        <v>690</v>
      </c>
      <c r="I236" s="95"/>
      <c r="J236" s="95">
        <v>1972642</v>
      </c>
      <c r="K236" s="273"/>
      <c r="L236" s="406">
        <v>1972642</v>
      </c>
      <c r="M236" s="299">
        <v>1</v>
      </c>
      <c r="N236" s="299" t="s">
        <v>686</v>
      </c>
      <c r="O236" s="250">
        <v>45329</v>
      </c>
      <c r="P236" s="316">
        <v>45638</v>
      </c>
      <c r="Q236" s="403">
        <v>19726416</v>
      </c>
      <c r="R236" s="99"/>
      <c r="S236" s="138"/>
      <c r="T236" s="407">
        <v>0</v>
      </c>
      <c r="U236" s="408">
        <v>9</v>
      </c>
      <c r="V236" s="396">
        <v>19726416</v>
      </c>
      <c r="W236" s="273">
        <v>21266310</v>
      </c>
      <c r="X236" s="99"/>
      <c r="Y236" s="99"/>
      <c r="Z236" s="268">
        <v>0</v>
      </c>
      <c r="AA236" s="405">
        <v>19726416</v>
      </c>
      <c r="AB236" s="270" t="s">
        <v>243</v>
      </c>
      <c r="AC236" s="393" t="s">
        <v>15</v>
      </c>
      <c r="AD236" s="204" t="s">
        <v>361</v>
      </c>
      <c r="AE236" s="204" t="s">
        <v>244</v>
      </c>
      <c r="AF236" s="410" t="str">
        <f>"CON-"&amp;A236</f>
        <v>CON-234</v>
      </c>
      <c r="AG236" s="270">
        <v>80111600</v>
      </c>
      <c r="AH236" s="310" t="s">
        <v>691</v>
      </c>
      <c r="AI236" s="301">
        <v>44963</v>
      </c>
      <c r="AJ236" s="301">
        <v>44963</v>
      </c>
      <c r="AK236" s="302">
        <v>9</v>
      </c>
      <c r="AL236" s="63" t="s">
        <v>241</v>
      </c>
      <c r="AM236" s="304" t="s">
        <v>242</v>
      </c>
      <c r="AN236" s="305">
        <v>19726416</v>
      </c>
      <c r="AO236" s="305">
        <v>19726416</v>
      </c>
      <c r="AP236" s="65" t="s">
        <v>244</v>
      </c>
      <c r="AQ236" s="65" t="s">
        <v>245</v>
      </c>
      <c r="AR236" s="360" t="s">
        <v>246</v>
      </c>
      <c r="AS236" s="306" t="s">
        <v>247</v>
      </c>
      <c r="AT236" s="307" t="s">
        <v>89</v>
      </c>
      <c r="AU236" s="308" t="s">
        <v>248</v>
      </c>
      <c r="AV236" s="361" t="s">
        <v>249</v>
      </c>
      <c r="AW236" s="303" t="s">
        <v>244</v>
      </c>
      <c r="AX236" s="303" t="s">
        <v>244</v>
      </c>
      <c r="AY236" s="394" t="s">
        <v>250</v>
      </c>
      <c r="AZ236" s="394" t="s">
        <v>251</v>
      </c>
      <c r="BA236" s="394" t="s">
        <v>252</v>
      </c>
      <c r="BB236" s="394" t="s">
        <v>250</v>
      </c>
      <c r="BC236" s="394"/>
      <c r="BD236" s="394"/>
    </row>
    <row r="237" spans="1:56" customFormat="1" ht="48" x14ac:dyDescent="0.25">
      <c r="A237" s="257">
        <v>235</v>
      </c>
      <c r="B237" s="299" t="s">
        <v>90</v>
      </c>
      <c r="C237" s="299" t="s">
        <v>78</v>
      </c>
      <c r="D237" s="299" t="s">
        <v>375</v>
      </c>
      <c r="E237" s="299"/>
      <c r="F237" s="350" t="s">
        <v>383</v>
      </c>
      <c r="G237" s="350" t="s">
        <v>374</v>
      </c>
      <c r="H237" s="45" t="s">
        <v>69</v>
      </c>
      <c r="I237" s="299"/>
      <c r="J237" s="251"/>
      <c r="K237" s="300"/>
      <c r="L237" s="311">
        <v>2048015</v>
      </c>
      <c r="M237" s="299">
        <v>1</v>
      </c>
      <c r="N237" s="299" t="s">
        <v>686</v>
      </c>
      <c r="O237" s="250">
        <v>45339</v>
      </c>
      <c r="P237" s="316">
        <v>45472</v>
      </c>
      <c r="Q237" s="312">
        <v>10240075</v>
      </c>
      <c r="R237" s="317"/>
      <c r="S237" s="317"/>
      <c r="T237" s="312">
        <v>0</v>
      </c>
      <c r="U237" s="318">
        <v>5</v>
      </c>
      <c r="V237" s="396">
        <v>10240075</v>
      </c>
      <c r="W237" s="356">
        <v>1750000000</v>
      </c>
      <c r="X237" s="353">
        <v>-0.43899999999999995</v>
      </c>
      <c r="Y237" s="376"/>
      <c r="Z237" s="376" t="s">
        <v>376</v>
      </c>
      <c r="AA237" s="356">
        <v>981750000</v>
      </c>
      <c r="AB237" s="270" t="s">
        <v>243</v>
      </c>
      <c r="AC237" s="393" t="s">
        <v>373</v>
      </c>
      <c r="AD237" s="393" t="s">
        <v>361</v>
      </c>
      <c r="AE237" s="204" t="s">
        <v>244</v>
      </c>
      <c r="AF237" s="399" t="str">
        <f t="shared" si="87"/>
        <v>CLE-235</v>
      </c>
      <c r="AG237" s="270">
        <v>80111600</v>
      </c>
      <c r="AH237" s="310" t="s">
        <v>682</v>
      </c>
      <c r="AI237" s="301">
        <v>45327</v>
      </c>
      <c r="AJ237" s="301">
        <v>45327</v>
      </c>
      <c r="AK237" s="302">
        <v>5</v>
      </c>
      <c r="AL237" s="303" t="s">
        <v>241</v>
      </c>
      <c r="AM237" s="304" t="s">
        <v>242</v>
      </c>
      <c r="AN237" s="313">
        <v>10240075</v>
      </c>
      <c r="AO237" s="313">
        <v>10240075</v>
      </c>
      <c r="AP237" s="303" t="s">
        <v>244</v>
      </c>
      <c r="AQ237" s="303" t="s">
        <v>245</v>
      </c>
      <c r="AR237" s="360" t="s">
        <v>246</v>
      </c>
      <c r="AS237" s="306" t="s">
        <v>247</v>
      </c>
      <c r="AT237" s="307" t="s">
        <v>372</v>
      </c>
      <c r="AU237" s="308" t="s">
        <v>248</v>
      </c>
      <c r="AV237" s="361" t="s">
        <v>249</v>
      </c>
      <c r="AW237" s="303" t="s">
        <v>244</v>
      </c>
      <c r="AX237" s="303" t="s">
        <v>244</v>
      </c>
      <c r="AY237" s="394" t="s">
        <v>250</v>
      </c>
      <c r="AZ237" s="394" t="s">
        <v>251</v>
      </c>
      <c r="BA237" s="394" t="s">
        <v>252</v>
      </c>
      <c r="BB237" s="394" t="s">
        <v>250</v>
      </c>
      <c r="BC237" s="394"/>
      <c r="BD237" s="394"/>
    </row>
    <row r="238" spans="1:56" customFormat="1" ht="48" x14ac:dyDescent="0.25">
      <c r="A238" s="257">
        <v>236</v>
      </c>
      <c r="B238" s="299" t="s">
        <v>90</v>
      </c>
      <c r="C238" s="299" t="s">
        <v>78</v>
      </c>
      <c r="D238" s="299" t="s">
        <v>375</v>
      </c>
      <c r="E238" s="299"/>
      <c r="F238" s="350" t="s">
        <v>383</v>
      </c>
      <c r="G238" s="350" t="s">
        <v>374</v>
      </c>
      <c r="H238" s="45" t="s">
        <v>69</v>
      </c>
      <c r="I238" s="299"/>
      <c r="J238" s="251">
        <v>1967592.5925925926</v>
      </c>
      <c r="K238" s="300">
        <v>5.0000000000000044E-2</v>
      </c>
      <c r="L238" s="311">
        <v>932058</v>
      </c>
      <c r="M238" s="299">
        <v>1</v>
      </c>
      <c r="N238" s="299" t="s">
        <v>686</v>
      </c>
      <c r="O238" s="250">
        <v>45339</v>
      </c>
      <c r="P238" s="316">
        <v>45472</v>
      </c>
      <c r="Q238" s="312">
        <v>4660290</v>
      </c>
      <c r="R238" s="317"/>
      <c r="S238" s="317"/>
      <c r="T238" s="312">
        <v>0</v>
      </c>
      <c r="U238" s="318">
        <v>5</v>
      </c>
      <c r="V238" s="396">
        <v>4660290</v>
      </c>
      <c r="W238" s="356">
        <v>1750000000</v>
      </c>
      <c r="X238" s="353">
        <v>-0.43899999999999995</v>
      </c>
      <c r="Y238" s="376"/>
      <c r="Z238" s="376" t="s">
        <v>376</v>
      </c>
      <c r="AA238" s="356">
        <v>981750000</v>
      </c>
      <c r="AB238" s="270" t="s">
        <v>243</v>
      </c>
      <c r="AC238" s="393" t="s">
        <v>373</v>
      </c>
      <c r="AD238" s="393" t="s">
        <v>361</v>
      </c>
      <c r="AE238" s="204" t="s">
        <v>244</v>
      </c>
      <c r="AF238" s="399" t="str">
        <f t="shared" si="87"/>
        <v>CLE-236</v>
      </c>
      <c r="AG238" s="270">
        <v>80111600</v>
      </c>
      <c r="AH238" s="310" t="s">
        <v>682</v>
      </c>
      <c r="AI238" s="301">
        <v>45327</v>
      </c>
      <c r="AJ238" s="301">
        <v>45327</v>
      </c>
      <c r="AK238" s="302">
        <v>5</v>
      </c>
      <c r="AL238" s="303" t="s">
        <v>241</v>
      </c>
      <c r="AM238" s="304" t="s">
        <v>242</v>
      </c>
      <c r="AN238" s="305">
        <v>4660290</v>
      </c>
      <c r="AO238" s="305">
        <v>4660290</v>
      </c>
      <c r="AP238" s="303" t="s">
        <v>244</v>
      </c>
      <c r="AQ238" s="303" t="s">
        <v>245</v>
      </c>
      <c r="AR238" s="360" t="s">
        <v>246</v>
      </c>
      <c r="AS238" s="306" t="s">
        <v>247</v>
      </c>
      <c r="AT238" s="307" t="s">
        <v>372</v>
      </c>
      <c r="AU238" s="308" t="s">
        <v>248</v>
      </c>
      <c r="AV238" s="361" t="s">
        <v>249</v>
      </c>
      <c r="AW238" s="303" t="s">
        <v>244</v>
      </c>
      <c r="AX238" s="303" t="s">
        <v>244</v>
      </c>
      <c r="AY238" s="394" t="s">
        <v>250</v>
      </c>
      <c r="AZ238" s="394" t="s">
        <v>251</v>
      </c>
      <c r="BA238" s="394" t="s">
        <v>252</v>
      </c>
      <c r="BB238" s="394" t="s">
        <v>250</v>
      </c>
      <c r="BC238" s="394"/>
      <c r="BD238" s="394"/>
    </row>
    <row r="239" spans="1:56" customFormat="1" ht="48" x14ac:dyDescent="0.25">
      <c r="A239" s="257">
        <v>237</v>
      </c>
      <c r="B239" s="299" t="s">
        <v>90</v>
      </c>
      <c r="C239" s="299" t="s">
        <v>78</v>
      </c>
      <c r="D239" s="299" t="s">
        <v>375</v>
      </c>
      <c r="E239" s="299"/>
      <c r="F239" s="350" t="s">
        <v>383</v>
      </c>
      <c r="G239" s="350" t="s">
        <v>374</v>
      </c>
      <c r="H239" s="45" t="s">
        <v>69</v>
      </c>
      <c r="I239" s="299"/>
      <c r="J239" s="251">
        <v>1967592.5925925926</v>
      </c>
      <c r="K239" s="300">
        <v>5.0000000000000044E-2</v>
      </c>
      <c r="L239" s="311">
        <v>932058</v>
      </c>
      <c r="M239" s="299">
        <v>1</v>
      </c>
      <c r="N239" s="299" t="s">
        <v>686</v>
      </c>
      <c r="O239" s="250">
        <v>45339</v>
      </c>
      <c r="P239" s="316">
        <v>45472</v>
      </c>
      <c r="Q239" s="312">
        <v>4660290</v>
      </c>
      <c r="R239" s="317"/>
      <c r="S239" s="317"/>
      <c r="T239" s="312">
        <v>0</v>
      </c>
      <c r="U239" s="318">
        <v>5</v>
      </c>
      <c r="V239" s="396">
        <v>4660290</v>
      </c>
      <c r="W239" s="356">
        <v>1750000000</v>
      </c>
      <c r="X239" s="353">
        <v>-0.43899999999999995</v>
      </c>
      <c r="Y239" s="376"/>
      <c r="Z239" s="376" t="s">
        <v>376</v>
      </c>
      <c r="AA239" s="356">
        <v>981750000</v>
      </c>
      <c r="AB239" s="270" t="s">
        <v>243</v>
      </c>
      <c r="AC239" s="393" t="s">
        <v>373</v>
      </c>
      <c r="AD239" s="393" t="s">
        <v>361</v>
      </c>
      <c r="AE239" s="204" t="s">
        <v>244</v>
      </c>
      <c r="AF239" s="399" t="str">
        <f t="shared" si="87"/>
        <v>CLE-237</v>
      </c>
      <c r="AG239" s="270">
        <v>80111600</v>
      </c>
      <c r="AH239" s="310" t="s">
        <v>682</v>
      </c>
      <c r="AI239" s="301">
        <v>45327</v>
      </c>
      <c r="AJ239" s="301">
        <v>45327</v>
      </c>
      <c r="AK239" s="302">
        <v>5</v>
      </c>
      <c r="AL239" s="303" t="s">
        <v>241</v>
      </c>
      <c r="AM239" s="304" t="s">
        <v>242</v>
      </c>
      <c r="AN239" s="305">
        <v>4660290</v>
      </c>
      <c r="AO239" s="305">
        <v>4660290</v>
      </c>
      <c r="AP239" s="303" t="s">
        <v>244</v>
      </c>
      <c r="AQ239" s="303" t="s">
        <v>245</v>
      </c>
      <c r="AR239" s="360" t="s">
        <v>246</v>
      </c>
      <c r="AS239" s="306" t="s">
        <v>247</v>
      </c>
      <c r="AT239" s="307" t="s">
        <v>372</v>
      </c>
      <c r="AU239" s="308" t="s">
        <v>248</v>
      </c>
      <c r="AV239" s="361" t="s">
        <v>249</v>
      </c>
      <c r="AW239" s="303" t="s">
        <v>244</v>
      </c>
      <c r="AX239" s="303" t="s">
        <v>244</v>
      </c>
      <c r="AY239" s="394" t="s">
        <v>250</v>
      </c>
      <c r="AZ239" s="394" t="s">
        <v>251</v>
      </c>
      <c r="BA239" s="394" t="s">
        <v>252</v>
      </c>
      <c r="BB239" s="394" t="s">
        <v>250</v>
      </c>
      <c r="BC239" s="394"/>
      <c r="BD239" s="394"/>
    </row>
    <row r="240" spans="1:56" customFormat="1" ht="48" x14ac:dyDescent="0.25">
      <c r="A240" s="257">
        <v>238</v>
      </c>
      <c r="B240" s="299" t="s">
        <v>90</v>
      </c>
      <c r="C240" s="299" t="s">
        <v>78</v>
      </c>
      <c r="D240" s="299" t="s">
        <v>375</v>
      </c>
      <c r="E240" s="299"/>
      <c r="F240" s="350" t="s">
        <v>383</v>
      </c>
      <c r="G240" s="350" t="s">
        <v>374</v>
      </c>
      <c r="H240" s="45" t="s">
        <v>69</v>
      </c>
      <c r="I240" s="299"/>
      <c r="J240" s="251">
        <v>1967592.5925925926</v>
      </c>
      <c r="K240" s="300">
        <v>5.0000000000000044E-2</v>
      </c>
      <c r="L240" s="311">
        <v>932058</v>
      </c>
      <c r="M240" s="299">
        <v>1</v>
      </c>
      <c r="N240" s="299" t="s">
        <v>686</v>
      </c>
      <c r="O240" s="250">
        <v>45339</v>
      </c>
      <c r="P240" s="316">
        <v>45472</v>
      </c>
      <c r="Q240" s="312">
        <v>4660290</v>
      </c>
      <c r="R240" s="317"/>
      <c r="S240" s="317"/>
      <c r="T240" s="312">
        <v>0</v>
      </c>
      <c r="U240" s="318">
        <v>5</v>
      </c>
      <c r="V240" s="396">
        <v>4660290</v>
      </c>
      <c r="W240" s="356">
        <v>1750000000</v>
      </c>
      <c r="X240" s="353">
        <v>-0.43899999999999995</v>
      </c>
      <c r="Y240" s="376"/>
      <c r="Z240" s="376" t="s">
        <v>376</v>
      </c>
      <c r="AA240" s="356">
        <v>981750000</v>
      </c>
      <c r="AB240" s="270" t="s">
        <v>243</v>
      </c>
      <c r="AC240" s="393" t="s">
        <v>373</v>
      </c>
      <c r="AD240" s="393" t="s">
        <v>361</v>
      </c>
      <c r="AE240" s="204" t="s">
        <v>244</v>
      </c>
      <c r="AF240" s="399" t="str">
        <f t="shared" si="87"/>
        <v>CLE-238</v>
      </c>
      <c r="AG240" s="270">
        <v>80111600</v>
      </c>
      <c r="AH240" s="310" t="s">
        <v>682</v>
      </c>
      <c r="AI240" s="301">
        <v>45327</v>
      </c>
      <c r="AJ240" s="301">
        <v>45327</v>
      </c>
      <c r="AK240" s="302">
        <v>5</v>
      </c>
      <c r="AL240" s="303" t="s">
        <v>241</v>
      </c>
      <c r="AM240" s="304" t="s">
        <v>242</v>
      </c>
      <c r="AN240" s="305">
        <v>4660290</v>
      </c>
      <c r="AO240" s="305">
        <v>4660290</v>
      </c>
      <c r="AP240" s="303" t="s">
        <v>244</v>
      </c>
      <c r="AQ240" s="303" t="s">
        <v>245</v>
      </c>
      <c r="AR240" s="360" t="s">
        <v>246</v>
      </c>
      <c r="AS240" s="306" t="s">
        <v>247</v>
      </c>
      <c r="AT240" s="307" t="s">
        <v>372</v>
      </c>
      <c r="AU240" s="308" t="s">
        <v>248</v>
      </c>
      <c r="AV240" s="361" t="s">
        <v>249</v>
      </c>
      <c r="AW240" s="303" t="s">
        <v>244</v>
      </c>
      <c r="AX240" s="303" t="s">
        <v>244</v>
      </c>
      <c r="AY240" s="394" t="s">
        <v>250</v>
      </c>
      <c r="AZ240" s="394" t="s">
        <v>251</v>
      </c>
      <c r="BA240" s="394" t="s">
        <v>252</v>
      </c>
      <c r="BB240" s="394" t="s">
        <v>250</v>
      </c>
      <c r="BC240" s="394"/>
      <c r="BD240" s="394"/>
    </row>
    <row r="241" spans="1:56" customFormat="1" ht="48" x14ac:dyDescent="0.25">
      <c r="A241" s="257">
        <v>239</v>
      </c>
      <c r="B241" s="299" t="s">
        <v>90</v>
      </c>
      <c r="C241" s="299" t="s">
        <v>78</v>
      </c>
      <c r="D241" s="299" t="s">
        <v>375</v>
      </c>
      <c r="E241" s="299"/>
      <c r="F241" s="350" t="s">
        <v>383</v>
      </c>
      <c r="G241" s="350" t="s">
        <v>374</v>
      </c>
      <c r="H241" s="45" t="s">
        <v>67</v>
      </c>
      <c r="I241" s="299"/>
      <c r="J241" s="251">
        <v>1967592.5925925926</v>
      </c>
      <c r="K241" s="300">
        <v>5.0000000000000044E-2</v>
      </c>
      <c r="L241" s="311">
        <v>1090695</v>
      </c>
      <c r="M241" s="299">
        <v>1</v>
      </c>
      <c r="N241" s="299" t="s">
        <v>686</v>
      </c>
      <c r="O241" s="250">
        <v>45339</v>
      </c>
      <c r="P241" s="316">
        <v>45472</v>
      </c>
      <c r="Q241" s="312">
        <v>5453475</v>
      </c>
      <c r="R241" s="317"/>
      <c r="S241" s="317"/>
      <c r="T241" s="312">
        <v>0</v>
      </c>
      <c r="U241" s="318">
        <v>5</v>
      </c>
      <c r="V241" s="396">
        <v>5453475</v>
      </c>
      <c r="W241" s="356">
        <v>1750000000</v>
      </c>
      <c r="X241" s="353">
        <v>-0.43899999999999995</v>
      </c>
      <c r="Y241" s="376"/>
      <c r="Z241" s="376" t="s">
        <v>376</v>
      </c>
      <c r="AA241" s="356">
        <v>981750000</v>
      </c>
      <c r="AB241" s="270" t="s">
        <v>243</v>
      </c>
      <c r="AC241" s="393" t="s">
        <v>373</v>
      </c>
      <c r="AD241" s="393" t="s">
        <v>361</v>
      </c>
      <c r="AE241" s="204" t="s">
        <v>244</v>
      </c>
      <c r="AF241" s="399" t="str">
        <f t="shared" si="87"/>
        <v>CLE-239</v>
      </c>
      <c r="AG241" s="270">
        <v>80111600</v>
      </c>
      <c r="AH241" s="310" t="s">
        <v>682</v>
      </c>
      <c r="AI241" s="301">
        <v>45327</v>
      </c>
      <c r="AJ241" s="301">
        <v>45327</v>
      </c>
      <c r="AK241" s="302">
        <v>5</v>
      </c>
      <c r="AL241" s="303" t="s">
        <v>241</v>
      </c>
      <c r="AM241" s="304" t="s">
        <v>242</v>
      </c>
      <c r="AN241" s="305">
        <v>5453475</v>
      </c>
      <c r="AO241" s="305">
        <v>5453475</v>
      </c>
      <c r="AP241" s="303" t="s">
        <v>244</v>
      </c>
      <c r="AQ241" s="303" t="s">
        <v>245</v>
      </c>
      <c r="AR241" s="360" t="s">
        <v>246</v>
      </c>
      <c r="AS241" s="306" t="s">
        <v>247</v>
      </c>
      <c r="AT241" s="307" t="s">
        <v>372</v>
      </c>
      <c r="AU241" s="308" t="s">
        <v>248</v>
      </c>
      <c r="AV241" s="361" t="s">
        <v>249</v>
      </c>
      <c r="AW241" s="303" t="s">
        <v>244</v>
      </c>
      <c r="AX241" s="303" t="s">
        <v>244</v>
      </c>
      <c r="AY241" s="394" t="s">
        <v>250</v>
      </c>
      <c r="AZ241" s="394" t="s">
        <v>251</v>
      </c>
      <c r="BA241" s="394" t="s">
        <v>252</v>
      </c>
      <c r="BB241" s="394" t="s">
        <v>250</v>
      </c>
      <c r="BC241" s="394"/>
      <c r="BD241" s="394"/>
    </row>
    <row r="242" spans="1:56" customFormat="1" ht="48" x14ac:dyDescent="0.25">
      <c r="A242" s="257">
        <v>240</v>
      </c>
      <c r="B242" s="299" t="s">
        <v>90</v>
      </c>
      <c r="C242" s="299" t="s">
        <v>78</v>
      </c>
      <c r="D242" s="299" t="s">
        <v>375</v>
      </c>
      <c r="E242" s="299"/>
      <c r="F242" s="350" t="s">
        <v>383</v>
      </c>
      <c r="G242" s="350" t="s">
        <v>374</v>
      </c>
      <c r="H242" s="45" t="s">
        <v>67</v>
      </c>
      <c r="I242" s="299"/>
      <c r="J242" s="251">
        <v>1967592.5925925926</v>
      </c>
      <c r="K242" s="300">
        <v>5.0000000000000044E-2</v>
      </c>
      <c r="L242" s="311">
        <v>1090695</v>
      </c>
      <c r="M242" s="299">
        <v>1</v>
      </c>
      <c r="N242" s="299" t="s">
        <v>686</v>
      </c>
      <c r="O242" s="250">
        <v>45339</v>
      </c>
      <c r="P242" s="316">
        <v>45472</v>
      </c>
      <c r="Q242" s="312">
        <v>5453475</v>
      </c>
      <c r="R242" s="317"/>
      <c r="S242" s="317"/>
      <c r="T242" s="312">
        <v>0</v>
      </c>
      <c r="U242" s="318">
        <v>5</v>
      </c>
      <c r="V242" s="396">
        <v>5453475</v>
      </c>
      <c r="W242" s="356">
        <v>1750000000</v>
      </c>
      <c r="X242" s="353">
        <v>-0.43899999999999995</v>
      </c>
      <c r="Y242" s="376"/>
      <c r="Z242" s="376" t="s">
        <v>376</v>
      </c>
      <c r="AA242" s="356">
        <v>981750000</v>
      </c>
      <c r="AB242" s="270" t="s">
        <v>243</v>
      </c>
      <c r="AC242" s="393" t="s">
        <v>373</v>
      </c>
      <c r="AD242" s="393" t="s">
        <v>361</v>
      </c>
      <c r="AE242" s="204" t="s">
        <v>244</v>
      </c>
      <c r="AF242" s="399" t="str">
        <f t="shared" si="87"/>
        <v>CLE-240</v>
      </c>
      <c r="AG242" s="270">
        <v>80111600</v>
      </c>
      <c r="AH242" s="310" t="s">
        <v>682</v>
      </c>
      <c r="AI242" s="301">
        <v>45327</v>
      </c>
      <c r="AJ242" s="301">
        <v>45327</v>
      </c>
      <c r="AK242" s="302">
        <v>5</v>
      </c>
      <c r="AL242" s="303" t="s">
        <v>241</v>
      </c>
      <c r="AM242" s="304" t="s">
        <v>242</v>
      </c>
      <c r="AN242" s="305">
        <v>5453475</v>
      </c>
      <c r="AO242" s="305">
        <v>5453475</v>
      </c>
      <c r="AP242" s="303" t="s">
        <v>244</v>
      </c>
      <c r="AQ242" s="303" t="s">
        <v>245</v>
      </c>
      <c r="AR242" s="360" t="s">
        <v>246</v>
      </c>
      <c r="AS242" s="306" t="s">
        <v>247</v>
      </c>
      <c r="AT242" s="307" t="s">
        <v>372</v>
      </c>
      <c r="AU242" s="308" t="s">
        <v>248</v>
      </c>
      <c r="AV242" s="361" t="s">
        <v>249</v>
      </c>
      <c r="AW242" s="303" t="s">
        <v>244</v>
      </c>
      <c r="AX242" s="303" t="s">
        <v>244</v>
      </c>
      <c r="AY242" s="394" t="s">
        <v>250</v>
      </c>
      <c r="AZ242" s="394" t="s">
        <v>251</v>
      </c>
      <c r="BA242" s="394" t="s">
        <v>252</v>
      </c>
      <c r="BB242" s="394" t="s">
        <v>250</v>
      </c>
      <c r="BC242" s="394"/>
      <c r="BD242" s="394"/>
    </row>
    <row r="243" spans="1:56" ht="60" x14ac:dyDescent="0.2">
      <c r="A243" s="257">
        <v>241</v>
      </c>
      <c r="B243" s="299" t="s">
        <v>90</v>
      </c>
      <c r="C243" s="299" t="s">
        <v>78</v>
      </c>
      <c r="D243" s="299" t="s">
        <v>91</v>
      </c>
      <c r="E243" s="299"/>
      <c r="F243" s="350" t="s">
        <v>480</v>
      </c>
      <c r="G243" s="350" t="s">
        <v>374</v>
      </c>
      <c r="H243" s="299" t="s">
        <v>69</v>
      </c>
      <c r="I243" s="299">
        <v>1</v>
      </c>
      <c r="J243" s="251">
        <v>2200000</v>
      </c>
      <c r="K243" s="300">
        <f t="shared" ref="K243" si="88">IF(J243="",1,((L243/J243)-1))</f>
        <v>0.38636363636363646</v>
      </c>
      <c r="L243" s="311">
        <v>3050000</v>
      </c>
      <c r="M243" s="299">
        <v>1</v>
      </c>
      <c r="N243" s="299" t="s">
        <v>485</v>
      </c>
      <c r="O243" s="250">
        <v>45337</v>
      </c>
      <c r="P243" s="316">
        <v>45397</v>
      </c>
      <c r="Q243" s="312">
        <f t="shared" ref="Q243" si="89">IF($N243="MENSUAL",ROUND((((P243-O243))/30),0)*$L243*$M243,((P243-O243)/30)*$L243*$M243)</f>
        <v>6100000</v>
      </c>
      <c r="R243" s="357"/>
      <c r="S243" s="357"/>
      <c r="T243" s="312">
        <f t="shared" ref="T243" si="90">IF($N243="MENSUAL",ROUND((((S243-R243))/30),0)*$L243,((S243-R243)/30)*$L243)</f>
        <v>0</v>
      </c>
      <c r="U243" s="318">
        <f t="shared" ref="U243" si="91">ROUND((((P243-O243)+(S243-R243))/30),0)</f>
        <v>2</v>
      </c>
      <c r="V243" s="396">
        <f t="shared" ref="V243" si="92">+Q243+T243</f>
        <v>6100000</v>
      </c>
      <c r="W243" s="313">
        <v>22733333.333333336</v>
      </c>
      <c r="X243" s="353">
        <f t="shared" ref="X243" si="93">IF(W243="",1,((V243/W243)-1))</f>
        <v>-0.73167155425219943</v>
      </c>
      <c r="Y243" s="375">
        <v>21018921</v>
      </c>
      <c r="Z243" s="376" t="s">
        <v>457</v>
      </c>
      <c r="AA243" s="356">
        <f t="shared" ref="AA243" si="94">+V243</f>
        <v>6100000</v>
      </c>
      <c r="AB243" s="270" t="s">
        <v>243</v>
      </c>
      <c r="AC243" s="393" t="s">
        <v>1</v>
      </c>
      <c r="AD243" s="358" t="s">
        <v>361</v>
      </c>
      <c r="AE243" s="358" t="s">
        <v>244</v>
      </c>
      <c r="AF243" s="359" t="str">
        <f t="shared" ref="AF243" si="95">"CON-"&amp;A243</f>
        <v>CON-241</v>
      </c>
      <c r="AG243" s="270">
        <v>80111600</v>
      </c>
      <c r="AH243" s="249" t="s">
        <v>703</v>
      </c>
      <c r="AI243" s="301">
        <f t="shared" ref="AI243" si="96">+O243</f>
        <v>45337</v>
      </c>
      <c r="AJ243" s="301">
        <f t="shared" ref="AJ243" si="97">+AI243</f>
        <v>45337</v>
      </c>
      <c r="AK243" s="302">
        <f t="shared" ref="AK243" si="98">+U243</f>
        <v>2</v>
      </c>
      <c r="AL243" s="303" t="s">
        <v>241</v>
      </c>
      <c r="AM243" s="304" t="s">
        <v>242</v>
      </c>
      <c r="AN243" s="305">
        <f t="shared" ref="AN243" si="99">+V243</f>
        <v>6100000</v>
      </c>
      <c r="AO243" s="305">
        <f t="shared" ref="AO243" si="100">+AN243</f>
        <v>6100000</v>
      </c>
      <c r="AP243" s="303" t="s">
        <v>244</v>
      </c>
      <c r="AQ243" s="303" t="s">
        <v>245</v>
      </c>
      <c r="AR243" s="360" t="s">
        <v>246</v>
      </c>
      <c r="AS243" s="306" t="s">
        <v>247</v>
      </c>
      <c r="AT243" s="307" t="str">
        <f t="shared" ref="AT243" si="101">D243</f>
        <v>SUBDIRECCIÓN DE ASESORÍAS Y EXTENSIÓN</v>
      </c>
      <c r="AU243" s="308" t="s">
        <v>248</v>
      </c>
      <c r="AV243" s="361" t="s">
        <v>249</v>
      </c>
      <c r="AW243" s="303" t="s">
        <v>244</v>
      </c>
      <c r="AX243" s="303" t="s">
        <v>244</v>
      </c>
      <c r="AY243" s="362" t="s">
        <v>250</v>
      </c>
      <c r="AZ243" s="363" t="s">
        <v>251</v>
      </c>
      <c r="BA243" s="363" t="s">
        <v>252</v>
      </c>
      <c r="BB243" s="363" t="s">
        <v>250</v>
      </c>
      <c r="BC243" s="363"/>
      <c r="BD243" s="363"/>
    </row>
    <row r="244" spans="1:56" ht="48" x14ac:dyDescent="0.2">
      <c r="A244" s="257">
        <v>242</v>
      </c>
      <c r="B244" s="299" t="s">
        <v>90</v>
      </c>
      <c r="C244" s="299" t="s">
        <v>78</v>
      </c>
      <c r="D244" s="299" t="s">
        <v>91</v>
      </c>
      <c r="E244" s="299"/>
      <c r="F244" s="350" t="s">
        <v>480</v>
      </c>
      <c r="G244" s="350" t="s">
        <v>374</v>
      </c>
      <c r="H244" s="299" t="s">
        <v>70</v>
      </c>
      <c r="I244" s="299">
        <v>1</v>
      </c>
      <c r="J244" s="251">
        <v>2200000</v>
      </c>
      <c r="K244" s="300">
        <f t="shared" ref="K244" si="102">IF(J244="",1,((L244/J244)-1))</f>
        <v>4.5454545454545414E-2</v>
      </c>
      <c r="L244" s="311">
        <f>IF(H244="OTRO",(J244*1.05),VLOOKUP((I244&amp;H244),'ESCALAS Salarios'!$D$2:$F$30,3,0))</f>
        <v>2300000</v>
      </c>
      <c r="M244" s="299">
        <v>1</v>
      </c>
      <c r="N244" s="299" t="s">
        <v>485</v>
      </c>
      <c r="O244" s="250">
        <v>45337</v>
      </c>
      <c r="P244" s="316">
        <v>45397</v>
      </c>
      <c r="Q244" s="312">
        <f t="shared" ref="Q244" si="103">IF($N244="MENSUAL",ROUND((((P244-O244))/30),0)*$L244*$M244,((P244-O244)/30)*$L244*$M244)</f>
        <v>4600000</v>
      </c>
      <c r="R244" s="357"/>
      <c r="S244" s="357"/>
      <c r="T244" s="312">
        <f t="shared" ref="T244" si="104">IF($N244="MENSUAL",ROUND((((S244-R244))/30),0)*$L244,((S244-R244)/30)*$L244)</f>
        <v>0</v>
      </c>
      <c r="U244" s="318">
        <f t="shared" ref="U244" si="105">ROUND((((P244-O244)+(S244-R244))/30),0)</f>
        <v>2</v>
      </c>
      <c r="V244" s="396">
        <f t="shared" ref="V244" si="106">+Q244+T244</f>
        <v>4600000</v>
      </c>
      <c r="W244" s="313">
        <v>22733333.333333336</v>
      </c>
      <c r="X244" s="353">
        <f t="shared" ref="X244" si="107">IF(W244="",1,((V244/W244)-1))</f>
        <v>-0.79765395894428148</v>
      </c>
      <c r="Y244" s="375">
        <v>21018921</v>
      </c>
      <c r="Z244" s="376" t="s">
        <v>457</v>
      </c>
      <c r="AA244" s="356">
        <f t="shared" ref="AA244" si="108">+V244</f>
        <v>4600000</v>
      </c>
      <c r="AB244" s="270" t="s">
        <v>243</v>
      </c>
      <c r="AC244" s="393" t="s">
        <v>1</v>
      </c>
      <c r="AD244" s="358" t="s">
        <v>361</v>
      </c>
      <c r="AE244" s="358" t="s">
        <v>244</v>
      </c>
      <c r="AF244" s="359" t="str">
        <f t="shared" ref="AF244" si="109">"CON-"&amp;A244</f>
        <v>CON-242</v>
      </c>
      <c r="AG244" s="270">
        <v>80111600</v>
      </c>
      <c r="AH244" s="249" t="s">
        <v>704</v>
      </c>
      <c r="AI244" s="301">
        <f t="shared" ref="AI244" si="110">+O244</f>
        <v>45337</v>
      </c>
      <c r="AJ244" s="301">
        <f t="shared" ref="AJ244" si="111">+AI244</f>
        <v>45337</v>
      </c>
      <c r="AK244" s="302">
        <f t="shared" ref="AK244" si="112">+U244</f>
        <v>2</v>
      </c>
      <c r="AL244" s="303" t="s">
        <v>241</v>
      </c>
      <c r="AM244" s="304" t="s">
        <v>242</v>
      </c>
      <c r="AN244" s="305">
        <f t="shared" ref="AN244" si="113">+V244</f>
        <v>4600000</v>
      </c>
      <c r="AO244" s="305">
        <f t="shared" ref="AO244" si="114">+AN244</f>
        <v>4600000</v>
      </c>
      <c r="AP244" s="303" t="s">
        <v>244</v>
      </c>
      <c r="AQ244" s="303" t="s">
        <v>245</v>
      </c>
      <c r="AR244" s="360" t="s">
        <v>246</v>
      </c>
      <c r="AS244" s="306" t="s">
        <v>247</v>
      </c>
      <c r="AT244" s="307" t="str">
        <f t="shared" ref="AT244" si="115">D244</f>
        <v>SUBDIRECCIÓN DE ASESORÍAS Y EXTENSIÓN</v>
      </c>
      <c r="AU244" s="308" t="s">
        <v>248</v>
      </c>
      <c r="AV244" s="361" t="s">
        <v>249</v>
      </c>
      <c r="AW244" s="303" t="s">
        <v>244</v>
      </c>
      <c r="AX244" s="303" t="s">
        <v>244</v>
      </c>
      <c r="AY244" s="362" t="s">
        <v>250</v>
      </c>
      <c r="AZ244" s="363" t="s">
        <v>251</v>
      </c>
      <c r="BA244" s="363" t="s">
        <v>252</v>
      </c>
      <c r="BB244" s="363" t="s">
        <v>250</v>
      </c>
      <c r="BC244" s="363"/>
      <c r="BD244" s="363"/>
    </row>
    <row r="245" spans="1:56" customFormat="1" ht="48" x14ac:dyDescent="0.25">
      <c r="A245" s="257">
        <v>243</v>
      </c>
      <c r="B245" s="299" t="s">
        <v>90</v>
      </c>
      <c r="C245" s="299" t="s">
        <v>78</v>
      </c>
      <c r="D245" s="299" t="s">
        <v>375</v>
      </c>
      <c r="E245" s="299"/>
      <c r="F245" s="350" t="s">
        <v>383</v>
      </c>
      <c r="G245" s="350" t="s">
        <v>374</v>
      </c>
      <c r="H245" s="45" t="s">
        <v>67</v>
      </c>
      <c r="I245" s="299"/>
      <c r="J245" s="251">
        <v>1967592.5925925926</v>
      </c>
      <c r="K245" s="300">
        <v>5.0000000000000044E-2</v>
      </c>
      <c r="L245" s="311">
        <v>1090695</v>
      </c>
      <c r="M245" s="299">
        <v>1</v>
      </c>
      <c r="N245" s="299" t="s">
        <v>686</v>
      </c>
      <c r="O245" s="250">
        <v>45339</v>
      </c>
      <c r="P245" s="316">
        <v>45472</v>
      </c>
      <c r="Q245" s="312">
        <v>5453475</v>
      </c>
      <c r="R245" s="317"/>
      <c r="S245" s="317"/>
      <c r="T245" s="312">
        <v>0</v>
      </c>
      <c r="U245" s="318">
        <v>5</v>
      </c>
      <c r="V245" s="396">
        <v>5453475</v>
      </c>
      <c r="W245" s="356">
        <v>1750000000</v>
      </c>
      <c r="X245" s="353">
        <v>-0.43899999999999995</v>
      </c>
      <c r="Y245" s="376"/>
      <c r="Z245" s="376" t="s">
        <v>376</v>
      </c>
      <c r="AA245" s="356">
        <v>981750000</v>
      </c>
      <c r="AB245" s="270" t="s">
        <v>243</v>
      </c>
      <c r="AC245" s="393" t="s">
        <v>373</v>
      </c>
      <c r="AD245" s="393" t="s">
        <v>361</v>
      </c>
      <c r="AE245" s="358" t="s">
        <v>244</v>
      </c>
      <c r="AF245" s="399" t="str">
        <f t="shared" ref="AF245:AF252" si="116">"CLE-"&amp;A245</f>
        <v>CLE-243</v>
      </c>
      <c r="AG245" s="270">
        <v>80111600</v>
      </c>
      <c r="AH245" s="310" t="s">
        <v>682</v>
      </c>
      <c r="AI245" s="301">
        <v>45327</v>
      </c>
      <c r="AJ245" s="301">
        <v>45327</v>
      </c>
      <c r="AK245" s="302">
        <v>5</v>
      </c>
      <c r="AL245" s="303" t="s">
        <v>241</v>
      </c>
      <c r="AM245" s="304" t="s">
        <v>242</v>
      </c>
      <c r="AN245" s="305">
        <v>5453475</v>
      </c>
      <c r="AO245" s="305">
        <v>5453475</v>
      </c>
      <c r="AP245" s="303" t="s">
        <v>244</v>
      </c>
      <c r="AQ245" s="303" t="s">
        <v>245</v>
      </c>
      <c r="AR245" s="360" t="s">
        <v>246</v>
      </c>
      <c r="AS245" s="306" t="s">
        <v>247</v>
      </c>
      <c r="AT245" s="307" t="s">
        <v>372</v>
      </c>
      <c r="AU245" s="308" t="s">
        <v>248</v>
      </c>
      <c r="AV245" s="361" t="s">
        <v>249</v>
      </c>
      <c r="AW245" s="303" t="s">
        <v>244</v>
      </c>
      <c r="AX245" s="303" t="s">
        <v>244</v>
      </c>
      <c r="AY245" s="394" t="s">
        <v>250</v>
      </c>
      <c r="AZ245" s="394" t="s">
        <v>251</v>
      </c>
      <c r="BA245" s="394" t="s">
        <v>252</v>
      </c>
      <c r="BB245" s="394" t="s">
        <v>250</v>
      </c>
      <c r="BC245" s="394"/>
      <c r="BD245" s="394"/>
    </row>
    <row r="246" spans="1:56" customFormat="1" ht="48" x14ac:dyDescent="0.25">
      <c r="A246" s="257">
        <v>244</v>
      </c>
      <c r="B246" s="299" t="s">
        <v>90</v>
      </c>
      <c r="C246" s="299" t="s">
        <v>78</v>
      </c>
      <c r="D246" s="299" t="s">
        <v>375</v>
      </c>
      <c r="E246" s="299"/>
      <c r="F246" s="350" t="s">
        <v>383</v>
      </c>
      <c r="G246" s="350" t="s">
        <v>374</v>
      </c>
      <c r="H246" s="45" t="s">
        <v>67</v>
      </c>
      <c r="I246" s="299"/>
      <c r="J246" s="251">
        <v>1967592.5925925926</v>
      </c>
      <c r="K246" s="300">
        <v>5.0000000000000044E-2</v>
      </c>
      <c r="L246" s="311">
        <v>1090695</v>
      </c>
      <c r="M246" s="299">
        <v>1</v>
      </c>
      <c r="N246" s="299" t="s">
        <v>686</v>
      </c>
      <c r="O246" s="250">
        <v>45339</v>
      </c>
      <c r="P246" s="316">
        <v>45472</v>
      </c>
      <c r="Q246" s="312">
        <v>5453475</v>
      </c>
      <c r="R246" s="317"/>
      <c r="S246" s="317"/>
      <c r="T246" s="312">
        <v>0</v>
      </c>
      <c r="U246" s="318">
        <v>5</v>
      </c>
      <c r="V246" s="396">
        <v>5453475</v>
      </c>
      <c r="W246" s="356">
        <v>1750000000</v>
      </c>
      <c r="X246" s="353">
        <v>-0.43899999999999995</v>
      </c>
      <c r="Y246" s="376"/>
      <c r="Z246" s="376" t="s">
        <v>376</v>
      </c>
      <c r="AA246" s="356">
        <v>981750000</v>
      </c>
      <c r="AB246" s="270" t="s">
        <v>243</v>
      </c>
      <c r="AC246" s="393" t="s">
        <v>373</v>
      </c>
      <c r="AD246" s="393" t="s">
        <v>361</v>
      </c>
      <c r="AE246" s="358" t="s">
        <v>244</v>
      </c>
      <c r="AF246" s="399" t="str">
        <f t="shared" si="116"/>
        <v>CLE-244</v>
      </c>
      <c r="AG246" s="270">
        <v>80111600</v>
      </c>
      <c r="AH246" s="310" t="s">
        <v>682</v>
      </c>
      <c r="AI246" s="301">
        <v>45327</v>
      </c>
      <c r="AJ246" s="301">
        <v>45327</v>
      </c>
      <c r="AK246" s="302">
        <v>5</v>
      </c>
      <c r="AL246" s="303" t="s">
        <v>241</v>
      </c>
      <c r="AM246" s="304" t="s">
        <v>242</v>
      </c>
      <c r="AN246" s="305">
        <v>5453475</v>
      </c>
      <c r="AO246" s="305">
        <v>5453475</v>
      </c>
      <c r="AP246" s="303" t="s">
        <v>244</v>
      </c>
      <c r="AQ246" s="303" t="s">
        <v>245</v>
      </c>
      <c r="AR246" s="360" t="s">
        <v>246</v>
      </c>
      <c r="AS246" s="306" t="s">
        <v>247</v>
      </c>
      <c r="AT246" s="307" t="s">
        <v>372</v>
      </c>
      <c r="AU246" s="308" t="s">
        <v>248</v>
      </c>
      <c r="AV246" s="361" t="s">
        <v>249</v>
      </c>
      <c r="AW246" s="303" t="s">
        <v>244</v>
      </c>
      <c r="AX246" s="303" t="s">
        <v>244</v>
      </c>
      <c r="AY246" s="394" t="s">
        <v>250</v>
      </c>
      <c r="AZ246" s="394" t="s">
        <v>251</v>
      </c>
      <c r="BA246" s="394" t="s">
        <v>252</v>
      </c>
      <c r="BB246" s="394" t="s">
        <v>250</v>
      </c>
      <c r="BC246" s="394"/>
      <c r="BD246" s="394"/>
    </row>
    <row r="247" spans="1:56" customFormat="1" ht="48" x14ac:dyDescent="0.25">
      <c r="A247" s="257">
        <v>245</v>
      </c>
      <c r="B247" s="299" t="s">
        <v>90</v>
      </c>
      <c r="C247" s="299" t="s">
        <v>78</v>
      </c>
      <c r="D247" s="299" t="s">
        <v>375</v>
      </c>
      <c r="E247" s="299"/>
      <c r="F247" s="350" t="s">
        <v>383</v>
      </c>
      <c r="G247" s="350" t="s">
        <v>374</v>
      </c>
      <c r="H247" s="45" t="s">
        <v>67</v>
      </c>
      <c r="I247" s="299"/>
      <c r="J247" s="251">
        <v>1967592.5925925926</v>
      </c>
      <c r="K247" s="300">
        <v>5.0000000000000044E-2</v>
      </c>
      <c r="L247" s="311">
        <v>1090695</v>
      </c>
      <c r="M247" s="299">
        <v>1</v>
      </c>
      <c r="N247" s="299" t="s">
        <v>686</v>
      </c>
      <c r="O247" s="250">
        <v>45339</v>
      </c>
      <c r="P247" s="316">
        <v>45472</v>
      </c>
      <c r="Q247" s="312">
        <v>5453475</v>
      </c>
      <c r="R247" s="317"/>
      <c r="S247" s="317"/>
      <c r="T247" s="312">
        <v>0</v>
      </c>
      <c r="U247" s="318">
        <v>5</v>
      </c>
      <c r="V247" s="396">
        <v>5453475</v>
      </c>
      <c r="W247" s="356">
        <v>1750000000</v>
      </c>
      <c r="X247" s="353">
        <v>-0.43899999999999995</v>
      </c>
      <c r="Y247" s="376"/>
      <c r="Z247" s="376" t="s">
        <v>376</v>
      </c>
      <c r="AA247" s="356">
        <v>981750000</v>
      </c>
      <c r="AB247" s="270" t="s">
        <v>243</v>
      </c>
      <c r="AC247" s="393" t="s">
        <v>373</v>
      </c>
      <c r="AD247" s="393" t="s">
        <v>361</v>
      </c>
      <c r="AE247" s="358" t="s">
        <v>244</v>
      </c>
      <c r="AF247" s="399" t="str">
        <f t="shared" si="116"/>
        <v>CLE-245</v>
      </c>
      <c r="AG247" s="270">
        <v>80111600</v>
      </c>
      <c r="AH247" s="310" t="s">
        <v>682</v>
      </c>
      <c r="AI247" s="301">
        <v>45327</v>
      </c>
      <c r="AJ247" s="301">
        <v>45327</v>
      </c>
      <c r="AK247" s="302">
        <v>5</v>
      </c>
      <c r="AL247" s="303" t="s">
        <v>241</v>
      </c>
      <c r="AM247" s="304" t="s">
        <v>242</v>
      </c>
      <c r="AN247" s="305">
        <v>5453475</v>
      </c>
      <c r="AO247" s="305">
        <v>5453475</v>
      </c>
      <c r="AP247" s="303" t="s">
        <v>244</v>
      </c>
      <c r="AQ247" s="303" t="s">
        <v>245</v>
      </c>
      <c r="AR247" s="360" t="s">
        <v>246</v>
      </c>
      <c r="AS247" s="306" t="s">
        <v>247</v>
      </c>
      <c r="AT247" s="307" t="s">
        <v>372</v>
      </c>
      <c r="AU247" s="308" t="s">
        <v>248</v>
      </c>
      <c r="AV247" s="361" t="s">
        <v>249</v>
      </c>
      <c r="AW247" s="303" t="s">
        <v>244</v>
      </c>
      <c r="AX247" s="303" t="s">
        <v>244</v>
      </c>
      <c r="AY247" s="394" t="s">
        <v>250</v>
      </c>
      <c r="AZ247" s="394" t="s">
        <v>251</v>
      </c>
      <c r="BA247" s="394" t="s">
        <v>252</v>
      </c>
      <c r="BB247" s="394" t="s">
        <v>250</v>
      </c>
      <c r="BC247" s="394"/>
      <c r="BD247" s="394"/>
    </row>
    <row r="248" spans="1:56" customFormat="1" ht="48" x14ac:dyDescent="0.25">
      <c r="A248" s="257">
        <v>246</v>
      </c>
      <c r="B248" s="299" t="s">
        <v>90</v>
      </c>
      <c r="C248" s="299" t="s">
        <v>78</v>
      </c>
      <c r="D248" s="299" t="s">
        <v>375</v>
      </c>
      <c r="E248" s="299"/>
      <c r="F248" s="350" t="s">
        <v>383</v>
      </c>
      <c r="G248" s="350" t="s">
        <v>374</v>
      </c>
      <c r="H248" s="45" t="s">
        <v>67</v>
      </c>
      <c r="I248" s="299"/>
      <c r="J248" s="251">
        <v>1967592.5925925926</v>
      </c>
      <c r="K248" s="300">
        <v>5.0000000000000044E-2</v>
      </c>
      <c r="L248" s="311">
        <v>1269849</v>
      </c>
      <c r="M248" s="299">
        <v>1</v>
      </c>
      <c r="N248" s="299" t="s">
        <v>686</v>
      </c>
      <c r="O248" s="250">
        <v>45500</v>
      </c>
      <c r="P248" s="316">
        <v>45626</v>
      </c>
      <c r="Q248" s="312">
        <v>5079396</v>
      </c>
      <c r="R248" s="317"/>
      <c r="S248" s="317"/>
      <c r="T248" s="312">
        <v>0</v>
      </c>
      <c r="U248" s="318">
        <v>4</v>
      </c>
      <c r="V248" s="396">
        <v>5079396</v>
      </c>
      <c r="W248" s="356">
        <v>1750000000</v>
      </c>
      <c r="X248" s="353">
        <v>-0.43899999999999995</v>
      </c>
      <c r="Y248" s="376"/>
      <c r="Z248" s="376" t="s">
        <v>376</v>
      </c>
      <c r="AA248" s="356">
        <v>981750000</v>
      </c>
      <c r="AB248" s="270" t="s">
        <v>243</v>
      </c>
      <c r="AC248" s="393" t="s">
        <v>373</v>
      </c>
      <c r="AD248" s="393" t="s">
        <v>361</v>
      </c>
      <c r="AE248" s="358" t="s">
        <v>244</v>
      </c>
      <c r="AF248" s="399" t="str">
        <f t="shared" si="116"/>
        <v>CLE-246</v>
      </c>
      <c r="AG248" s="270">
        <v>80111600</v>
      </c>
      <c r="AH248" s="310" t="s">
        <v>737</v>
      </c>
      <c r="AI248" s="301" t="s">
        <v>393</v>
      </c>
      <c r="AJ248" s="301" t="s">
        <v>393</v>
      </c>
      <c r="AK248" s="302">
        <v>4</v>
      </c>
      <c r="AL248" s="303" t="s">
        <v>241</v>
      </c>
      <c r="AM248" s="304" t="s">
        <v>242</v>
      </c>
      <c r="AN248" s="305">
        <v>5079396</v>
      </c>
      <c r="AO248" s="305">
        <f>AN248</f>
        <v>5079396</v>
      </c>
      <c r="AP248" s="303" t="s">
        <v>244</v>
      </c>
      <c r="AQ248" s="303" t="s">
        <v>245</v>
      </c>
      <c r="AR248" s="360" t="s">
        <v>246</v>
      </c>
      <c r="AS248" s="306" t="s">
        <v>247</v>
      </c>
      <c r="AT248" s="307" t="s">
        <v>372</v>
      </c>
      <c r="AU248" s="308" t="s">
        <v>248</v>
      </c>
      <c r="AV248" s="361" t="s">
        <v>249</v>
      </c>
      <c r="AW248" s="303" t="s">
        <v>244</v>
      </c>
      <c r="AX248" s="303" t="s">
        <v>244</v>
      </c>
      <c r="AY248" s="394" t="s">
        <v>250</v>
      </c>
      <c r="AZ248" s="394" t="s">
        <v>251</v>
      </c>
      <c r="BA248" s="394" t="s">
        <v>252</v>
      </c>
      <c r="BB248" s="394" t="s">
        <v>250</v>
      </c>
      <c r="BC248" s="394"/>
      <c r="BD248" s="394"/>
    </row>
    <row r="249" spans="1:56" customFormat="1" ht="48" x14ac:dyDescent="0.25">
      <c r="A249" s="257">
        <v>247</v>
      </c>
      <c r="B249" s="299" t="s">
        <v>90</v>
      </c>
      <c r="C249" s="299" t="s">
        <v>78</v>
      </c>
      <c r="D249" s="299" t="s">
        <v>375</v>
      </c>
      <c r="E249" s="299"/>
      <c r="F249" s="350" t="s">
        <v>383</v>
      </c>
      <c r="G249" s="350" t="s">
        <v>374</v>
      </c>
      <c r="H249" s="45" t="s">
        <v>67</v>
      </c>
      <c r="I249" s="299"/>
      <c r="J249" s="251">
        <v>1967592.5925925926</v>
      </c>
      <c r="K249" s="300">
        <v>5.0000000000000044E-2</v>
      </c>
      <c r="L249" s="311">
        <v>1269849</v>
      </c>
      <c r="M249" s="299">
        <v>1</v>
      </c>
      <c r="N249" s="299" t="s">
        <v>686</v>
      </c>
      <c r="O249" s="250">
        <v>45500</v>
      </c>
      <c r="P249" s="316">
        <v>45626</v>
      </c>
      <c r="Q249" s="312">
        <v>5079396</v>
      </c>
      <c r="R249" s="317"/>
      <c r="S249" s="317"/>
      <c r="T249" s="312">
        <v>0</v>
      </c>
      <c r="U249" s="318">
        <v>4</v>
      </c>
      <c r="V249" s="396">
        <v>5079396</v>
      </c>
      <c r="W249" s="356">
        <v>1750000000</v>
      </c>
      <c r="X249" s="353">
        <v>-0.43899999999999995</v>
      </c>
      <c r="Y249" s="376"/>
      <c r="Z249" s="376" t="s">
        <v>376</v>
      </c>
      <c r="AA249" s="356">
        <v>981750000</v>
      </c>
      <c r="AB249" s="270" t="s">
        <v>243</v>
      </c>
      <c r="AC249" s="393" t="s">
        <v>373</v>
      </c>
      <c r="AD249" s="393" t="s">
        <v>361</v>
      </c>
      <c r="AE249" s="358" t="s">
        <v>244</v>
      </c>
      <c r="AF249" s="399" t="str">
        <f t="shared" si="116"/>
        <v>CLE-247</v>
      </c>
      <c r="AG249" s="270">
        <v>80111600</v>
      </c>
      <c r="AH249" s="310" t="s">
        <v>737</v>
      </c>
      <c r="AI249" s="301" t="s">
        <v>393</v>
      </c>
      <c r="AJ249" s="301" t="s">
        <v>393</v>
      </c>
      <c r="AK249" s="302">
        <v>4</v>
      </c>
      <c r="AL249" s="303" t="s">
        <v>241</v>
      </c>
      <c r="AM249" s="304" t="s">
        <v>242</v>
      </c>
      <c r="AN249" s="305">
        <v>5079396</v>
      </c>
      <c r="AO249" s="305">
        <f>AN249</f>
        <v>5079396</v>
      </c>
      <c r="AP249" s="303" t="s">
        <v>244</v>
      </c>
      <c r="AQ249" s="303" t="s">
        <v>245</v>
      </c>
      <c r="AR249" s="360" t="s">
        <v>246</v>
      </c>
      <c r="AS249" s="306" t="s">
        <v>247</v>
      </c>
      <c r="AT249" s="307" t="s">
        <v>372</v>
      </c>
      <c r="AU249" s="308" t="s">
        <v>248</v>
      </c>
      <c r="AV249" s="361" t="s">
        <v>249</v>
      </c>
      <c r="AW249" s="303" t="s">
        <v>244</v>
      </c>
      <c r="AX249" s="303" t="s">
        <v>244</v>
      </c>
      <c r="AY249" s="394" t="s">
        <v>250</v>
      </c>
      <c r="AZ249" s="394" t="s">
        <v>251</v>
      </c>
      <c r="BA249" s="394" t="s">
        <v>252</v>
      </c>
      <c r="BB249" s="394" t="s">
        <v>250</v>
      </c>
      <c r="BC249" s="394"/>
      <c r="BD249" s="394"/>
    </row>
    <row r="250" spans="1:56" ht="155.25" customHeight="1" x14ac:dyDescent="0.2">
      <c r="A250" s="257">
        <v>248</v>
      </c>
      <c r="B250" s="299" t="s">
        <v>63</v>
      </c>
      <c r="C250" s="299" t="s">
        <v>13</v>
      </c>
      <c r="D250" s="299" t="s">
        <v>22</v>
      </c>
      <c r="E250" s="299" t="s">
        <v>77</v>
      </c>
      <c r="F250" s="350" t="s">
        <v>383</v>
      </c>
      <c r="G250" s="350" t="s">
        <v>374</v>
      </c>
      <c r="H250" s="299" t="s">
        <v>69</v>
      </c>
      <c r="I250" s="299">
        <v>5</v>
      </c>
      <c r="J250" s="251">
        <v>4200000</v>
      </c>
      <c r="K250" s="300">
        <f t="shared" ref="K250" si="117">IF(J250="",1,((L250/J250)-1))</f>
        <v>0</v>
      </c>
      <c r="L250" s="311">
        <f>IF(H250="OTRO",(J250*1.05),VLOOKUP((I250&amp;H250),'ESCALAS Salarios'!$D$2:$F$30,3,0))</f>
        <v>4200000</v>
      </c>
      <c r="M250" s="299">
        <v>1</v>
      </c>
      <c r="N250" s="299" t="s">
        <v>485</v>
      </c>
      <c r="O250" s="250">
        <v>45348</v>
      </c>
      <c r="P250" s="316">
        <v>45652</v>
      </c>
      <c r="Q250" s="312">
        <v>42000000</v>
      </c>
      <c r="R250" s="250"/>
      <c r="S250" s="250"/>
      <c r="T250" s="312">
        <f t="shared" ref="T250" si="118">IF($N250="MENSUAL",ROUND((((S250-R250))/30),0)*$L250,((S250-R250)/30)*$L250)</f>
        <v>0</v>
      </c>
      <c r="U250" s="318">
        <v>10</v>
      </c>
      <c r="V250" s="396">
        <f t="shared" ref="V250" si="119">+Q250+T250</f>
        <v>42000000</v>
      </c>
      <c r="W250" s="313">
        <v>44380000</v>
      </c>
      <c r="X250" s="353">
        <f t="shared" ref="X250" si="120">IF(W250="",1,((V250/W250)-1))</f>
        <v>-5.362776025236593E-2</v>
      </c>
      <c r="Y250" s="375">
        <v>1018461794</v>
      </c>
      <c r="Z250" s="373" t="s">
        <v>415</v>
      </c>
      <c r="AA250" s="356">
        <f t="shared" ref="AA250" si="121">+V250</f>
        <v>42000000</v>
      </c>
      <c r="AB250" s="270" t="s">
        <v>243</v>
      </c>
      <c r="AC250" s="393" t="s">
        <v>1</v>
      </c>
      <c r="AD250" s="358" t="s">
        <v>361</v>
      </c>
      <c r="AE250" s="358" t="s">
        <v>244</v>
      </c>
      <c r="AF250" s="359" t="str">
        <f t="shared" ref="AF250" si="122">"CON-"&amp;A250</f>
        <v>CON-248</v>
      </c>
      <c r="AG250" s="270">
        <v>80111600</v>
      </c>
      <c r="AH250" s="249" t="s">
        <v>707</v>
      </c>
      <c r="AI250" s="301" t="s">
        <v>708</v>
      </c>
      <c r="AJ250" s="301" t="str">
        <f t="shared" ref="AJ250" si="123">+AI250</f>
        <v>ferebro</v>
      </c>
      <c r="AK250" s="302">
        <v>10</v>
      </c>
      <c r="AL250" s="303" t="s">
        <v>241</v>
      </c>
      <c r="AM250" s="304" t="s">
        <v>242</v>
      </c>
      <c r="AN250" s="305">
        <f t="shared" ref="AN250" si="124">+V250</f>
        <v>42000000</v>
      </c>
      <c r="AO250" s="305">
        <f t="shared" ref="AO250" si="125">+AN250</f>
        <v>42000000</v>
      </c>
      <c r="AP250" s="303" t="s">
        <v>244</v>
      </c>
      <c r="AQ250" s="303" t="s">
        <v>245</v>
      </c>
      <c r="AR250" s="360" t="s">
        <v>246</v>
      </c>
      <c r="AS250" s="306" t="s">
        <v>247</v>
      </c>
      <c r="AT250" s="307" t="str">
        <f t="shared" ref="AT250" si="126">D250</f>
        <v>FACULTAD DE CIENCIA Y TECNOLOGÍA</v>
      </c>
      <c r="AU250" s="308" t="s">
        <v>248</v>
      </c>
      <c r="AV250" s="361" t="s">
        <v>249</v>
      </c>
      <c r="AW250" s="303" t="s">
        <v>244</v>
      </c>
      <c r="AX250" s="303" t="s">
        <v>244</v>
      </c>
      <c r="AY250" s="362" t="s">
        <v>250</v>
      </c>
      <c r="AZ250" s="363" t="s">
        <v>251</v>
      </c>
      <c r="BA250" s="363" t="s">
        <v>252</v>
      </c>
      <c r="BB250" s="363" t="s">
        <v>250</v>
      </c>
      <c r="BC250" s="363"/>
      <c r="BD250" s="363"/>
    </row>
    <row r="251" spans="1:56" customFormat="1" ht="63" customHeight="1" x14ac:dyDescent="0.25">
      <c r="A251" s="257">
        <v>249</v>
      </c>
      <c r="B251" s="299" t="s">
        <v>90</v>
      </c>
      <c r="C251" s="299" t="s">
        <v>78</v>
      </c>
      <c r="D251" s="299" t="s">
        <v>375</v>
      </c>
      <c r="E251" s="299"/>
      <c r="F251" s="350" t="s">
        <v>383</v>
      </c>
      <c r="G251" s="350" t="s">
        <v>374</v>
      </c>
      <c r="H251" s="45" t="s">
        <v>69</v>
      </c>
      <c r="I251" s="299"/>
      <c r="J251" s="251">
        <v>1967592.5925925926</v>
      </c>
      <c r="K251" s="300">
        <v>5.0000000000000044E-2</v>
      </c>
      <c r="L251" s="311" t="s">
        <v>713</v>
      </c>
      <c r="M251" s="299">
        <v>1</v>
      </c>
      <c r="N251" s="299" t="s">
        <v>686</v>
      </c>
      <c r="O251" s="250">
        <v>45339</v>
      </c>
      <c r="P251" s="316">
        <v>45472</v>
      </c>
      <c r="Q251" s="312">
        <v>6305730</v>
      </c>
      <c r="R251" s="317"/>
      <c r="S251" s="317"/>
      <c r="T251" s="312">
        <v>0</v>
      </c>
      <c r="U251" s="318">
        <v>5</v>
      </c>
      <c r="V251" s="396">
        <v>6305730</v>
      </c>
      <c r="W251" s="356">
        <v>1750000000</v>
      </c>
      <c r="X251" s="353">
        <v>-0.43899999999999995</v>
      </c>
      <c r="Y251" s="376"/>
      <c r="Z251" s="376" t="s">
        <v>376</v>
      </c>
      <c r="AA251" s="356">
        <v>981750000</v>
      </c>
      <c r="AB251" s="270" t="s">
        <v>243</v>
      </c>
      <c r="AC251" s="393" t="s">
        <v>373</v>
      </c>
      <c r="AD251" s="393" t="s">
        <v>361</v>
      </c>
      <c r="AE251" s="358" t="s">
        <v>244</v>
      </c>
      <c r="AF251" s="399" t="str">
        <f t="shared" si="116"/>
        <v>CLE-249</v>
      </c>
      <c r="AG251" s="270">
        <v>80111600</v>
      </c>
      <c r="AH251" s="310" t="s">
        <v>711</v>
      </c>
      <c r="AI251" s="301">
        <v>45327</v>
      </c>
      <c r="AJ251" s="301">
        <v>45327</v>
      </c>
      <c r="AK251" s="302">
        <v>5</v>
      </c>
      <c r="AL251" s="303" t="s">
        <v>241</v>
      </c>
      <c r="AM251" s="304" t="s">
        <v>242</v>
      </c>
      <c r="AN251" s="313">
        <v>6305730</v>
      </c>
      <c r="AO251" s="313">
        <v>6305730</v>
      </c>
      <c r="AP251" s="303" t="s">
        <v>244</v>
      </c>
      <c r="AQ251" s="303" t="s">
        <v>245</v>
      </c>
      <c r="AR251" s="360" t="s">
        <v>246</v>
      </c>
      <c r="AS251" s="306" t="s">
        <v>247</v>
      </c>
      <c r="AT251" s="307" t="s">
        <v>372</v>
      </c>
      <c r="AU251" s="308" t="s">
        <v>248</v>
      </c>
      <c r="AV251" s="361" t="s">
        <v>249</v>
      </c>
      <c r="AW251" s="303" t="s">
        <v>244</v>
      </c>
      <c r="AX251" s="303" t="s">
        <v>244</v>
      </c>
      <c r="AY251" s="394" t="s">
        <v>250</v>
      </c>
      <c r="AZ251" s="394" t="s">
        <v>251</v>
      </c>
      <c r="BA251" s="394" t="s">
        <v>252</v>
      </c>
      <c r="BB251" s="394" t="s">
        <v>250</v>
      </c>
      <c r="BC251" s="394"/>
      <c r="BD251" s="394"/>
    </row>
    <row r="252" spans="1:56" customFormat="1" ht="63" customHeight="1" x14ac:dyDescent="0.25">
      <c r="A252" s="257">
        <v>250</v>
      </c>
      <c r="B252" s="299" t="s">
        <v>90</v>
      </c>
      <c r="C252" s="299" t="s">
        <v>78</v>
      </c>
      <c r="D252" s="299" t="s">
        <v>375</v>
      </c>
      <c r="E252" s="299"/>
      <c r="F252" s="350" t="s">
        <v>383</v>
      </c>
      <c r="G252" s="350" t="s">
        <v>374</v>
      </c>
      <c r="H252" s="45" t="s">
        <v>67</v>
      </c>
      <c r="I252" s="299"/>
      <c r="J252" s="251">
        <v>1967592.5925925926</v>
      </c>
      <c r="K252" s="300">
        <v>5.0000000000000044E-2</v>
      </c>
      <c r="L252" s="311" t="s">
        <v>713</v>
      </c>
      <c r="M252" s="299">
        <v>1</v>
      </c>
      <c r="N252" s="299" t="s">
        <v>686</v>
      </c>
      <c r="O252" s="250">
        <v>45339</v>
      </c>
      <c r="P252" s="316">
        <v>45472</v>
      </c>
      <c r="Q252" s="312">
        <v>8092525</v>
      </c>
      <c r="R252" s="317"/>
      <c r="S252" s="317"/>
      <c r="T252" s="312">
        <v>0</v>
      </c>
      <c r="U252" s="318">
        <v>5</v>
      </c>
      <c r="V252" s="396">
        <v>8092525</v>
      </c>
      <c r="W252" s="356">
        <v>1750000000</v>
      </c>
      <c r="X252" s="353">
        <v>-0.43899999999999995</v>
      </c>
      <c r="Y252" s="376"/>
      <c r="Z252" s="376" t="s">
        <v>376</v>
      </c>
      <c r="AA252" s="356">
        <v>981750000</v>
      </c>
      <c r="AB252" s="270" t="s">
        <v>243</v>
      </c>
      <c r="AC252" s="393" t="s">
        <v>373</v>
      </c>
      <c r="AD252" s="393" t="s">
        <v>361</v>
      </c>
      <c r="AE252" s="358" t="s">
        <v>244</v>
      </c>
      <c r="AF252" s="399" t="str">
        <f t="shared" si="116"/>
        <v>CLE-250</v>
      </c>
      <c r="AG252" s="270">
        <v>80111600</v>
      </c>
      <c r="AH252" s="310" t="s">
        <v>712</v>
      </c>
      <c r="AI252" s="301">
        <v>45327</v>
      </c>
      <c r="AJ252" s="301">
        <v>45327</v>
      </c>
      <c r="AK252" s="302">
        <v>5</v>
      </c>
      <c r="AL252" s="303" t="s">
        <v>241</v>
      </c>
      <c r="AM252" s="304" t="s">
        <v>242</v>
      </c>
      <c r="AN252" s="313">
        <v>8092525</v>
      </c>
      <c r="AO252" s="313">
        <v>8092525</v>
      </c>
      <c r="AP252" s="303" t="s">
        <v>244</v>
      </c>
      <c r="AQ252" s="303" t="s">
        <v>245</v>
      </c>
      <c r="AR252" s="360" t="s">
        <v>246</v>
      </c>
      <c r="AS252" s="306" t="s">
        <v>247</v>
      </c>
      <c r="AT252" s="307" t="s">
        <v>372</v>
      </c>
      <c r="AU252" s="308" t="s">
        <v>248</v>
      </c>
      <c r="AV252" s="361" t="s">
        <v>249</v>
      </c>
      <c r="AW252" s="303" t="s">
        <v>244</v>
      </c>
      <c r="AX252" s="303" t="s">
        <v>244</v>
      </c>
      <c r="AY252" s="394" t="s">
        <v>250</v>
      </c>
      <c r="AZ252" s="394" t="s">
        <v>251</v>
      </c>
      <c r="BA252" s="394" t="s">
        <v>252</v>
      </c>
      <c r="BB252" s="394" t="s">
        <v>250</v>
      </c>
      <c r="BC252" s="394"/>
      <c r="BD252" s="394"/>
    </row>
    <row r="253" spans="1:56" ht="52.5" customHeight="1" x14ac:dyDescent="0.2">
      <c r="A253" s="257">
        <v>251</v>
      </c>
      <c r="B253" s="299" t="s">
        <v>63</v>
      </c>
      <c r="C253" s="299" t="s">
        <v>13</v>
      </c>
      <c r="D253" s="299" t="s">
        <v>89</v>
      </c>
      <c r="E253" s="299" t="s">
        <v>44</v>
      </c>
      <c r="F253" s="350" t="s">
        <v>76</v>
      </c>
      <c r="G253" s="350" t="s">
        <v>72</v>
      </c>
      <c r="H253" s="299" t="s">
        <v>690</v>
      </c>
      <c r="I253" s="299"/>
      <c r="J253" s="379">
        <f>288271585/12/10.5</f>
        <v>2287869.722222222</v>
      </c>
      <c r="K253" s="300">
        <f t="shared" ref="K253:K257" si="127">IF(J253="",1,((L253/J253)-1))</f>
        <v>-9.4907380482887271E-2</v>
      </c>
      <c r="L253" s="311">
        <v>2070734</v>
      </c>
      <c r="M253" s="299">
        <v>1</v>
      </c>
      <c r="N253" s="299" t="s">
        <v>485</v>
      </c>
      <c r="O253" s="250">
        <v>45362</v>
      </c>
      <c r="P253" s="316">
        <v>45638</v>
      </c>
      <c r="Q253" s="312">
        <v>18636605</v>
      </c>
      <c r="R253" s="250"/>
      <c r="S253" s="250"/>
      <c r="T253" s="312">
        <f t="shared" ref="T253:T257" si="128">IF($N253="MENSUAL",ROUND((((S253-R253))/30),0)*$L253,((S253-R253)/30)*$L253)</f>
        <v>0</v>
      </c>
      <c r="U253" s="318">
        <v>8</v>
      </c>
      <c r="V253" s="396">
        <v>18636605</v>
      </c>
      <c r="W253" s="313">
        <v>288271585</v>
      </c>
      <c r="X253" s="353">
        <f t="shared" ref="X253:X254" si="129">IF(W253="",1,((V253/W253)-1))</f>
        <v>-0.93535053064630014</v>
      </c>
      <c r="Y253" s="350"/>
      <c r="Z253" s="350" t="s">
        <v>19</v>
      </c>
      <c r="AA253" s="356">
        <f t="shared" ref="AA253:AA257" si="130">+V253</f>
        <v>18636605</v>
      </c>
      <c r="AB253" s="270" t="s">
        <v>243</v>
      </c>
      <c r="AC253" s="393" t="s">
        <v>15</v>
      </c>
      <c r="AD253" s="358" t="s">
        <v>361</v>
      </c>
      <c r="AE253" s="358" t="s">
        <v>244</v>
      </c>
      <c r="AF253" s="359" t="str">
        <f t="shared" ref="AF253:AF257" si="131">"CON-"&amp;A253</f>
        <v>CON-251</v>
      </c>
      <c r="AG253" s="270">
        <v>80111600</v>
      </c>
      <c r="AH253" s="249" t="s">
        <v>691</v>
      </c>
      <c r="AI253" s="301">
        <f t="shared" ref="AI253:AI257" si="132">+O253</f>
        <v>45362</v>
      </c>
      <c r="AJ253" s="301">
        <f t="shared" ref="AJ253:AJ257" si="133">+AI253</f>
        <v>45362</v>
      </c>
      <c r="AK253" s="302">
        <f t="shared" ref="AK253:AK257" si="134">+U253</f>
        <v>8</v>
      </c>
      <c r="AL253" s="303" t="s">
        <v>241</v>
      </c>
      <c r="AM253" s="304" t="s">
        <v>242</v>
      </c>
      <c r="AN253" s="305">
        <f>V253</f>
        <v>18636605</v>
      </c>
      <c r="AO253" s="305">
        <f>+AN253</f>
        <v>18636605</v>
      </c>
      <c r="AP253" s="303" t="s">
        <v>244</v>
      </c>
      <c r="AQ253" s="303" t="s">
        <v>245</v>
      </c>
      <c r="AR253" s="360" t="s">
        <v>246</v>
      </c>
      <c r="AS253" s="306" t="s">
        <v>247</v>
      </c>
      <c r="AT253" s="307" t="str">
        <f t="shared" ref="AT253" si="135">D253</f>
        <v>FACULTAD DE EDUCACIÓN</v>
      </c>
      <c r="AU253" s="308" t="s">
        <v>248</v>
      </c>
      <c r="AV253" s="361" t="s">
        <v>249</v>
      </c>
      <c r="AW253" s="303" t="s">
        <v>244</v>
      </c>
      <c r="AX253" s="303" t="s">
        <v>244</v>
      </c>
      <c r="AY253" s="394" t="s">
        <v>250</v>
      </c>
      <c r="AZ253" s="394" t="s">
        <v>251</v>
      </c>
      <c r="BA253" s="394" t="s">
        <v>252</v>
      </c>
      <c r="BB253" s="394" t="s">
        <v>250</v>
      </c>
      <c r="BC253" s="394"/>
      <c r="BD253" s="394"/>
    </row>
    <row r="254" spans="1:56" ht="78" customHeight="1" x14ac:dyDescent="0.2">
      <c r="A254" s="257">
        <v>252</v>
      </c>
      <c r="B254" s="299" t="s">
        <v>63</v>
      </c>
      <c r="C254" s="299" t="s">
        <v>78</v>
      </c>
      <c r="D254" s="299" t="s">
        <v>23</v>
      </c>
      <c r="E254" s="299"/>
      <c r="F254" s="350"/>
      <c r="G254" s="350" t="s">
        <v>72</v>
      </c>
      <c r="H254" s="299" t="s">
        <v>67</v>
      </c>
      <c r="I254" s="299">
        <v>2</v>
      </c>
      <c r="J254" s="379">
        <v>1430000</v>
      </c>
      <c r="K254" s="300">
        <f t="shared" si="127"/>
        <v>2.4965034965034967</v>
      </c>
      <c r="L254" s="311">
        <f>IF(H254="OTRO",(J254*1.05),VLOOKUP((I254&amp;H254),'[2]ESCALAS Salarios'!$D$2:$F$30,3,0))</f>
        <v>5000000</v>
      </c>
      <c r="M254" s="299">
        <v>1</v>
      </c>
      <c r="N254" s="299" t="s">
        <v>485</v>
      </c>
      <c r="O254" s="250">
        <v>45383</v>
      </c>
      <c r="P254" s="316">
        <v>45627</v>
      </c>
      <c r="Q254" s="312">
        <v>40000000</v>
      </c>
      <c r="R254" s="250"/>
      <c r="S254" s="250"/>
      <c r="T254" s="312">
        <f t="shared" si="128"/>
        <v>0</v>
      </c>
      <c r="U254" s="318">
        <v>8</v>
      </c>
      <c r="V254" s="396">
        <f t="shared" ref="V254:V257" si="136">+Q254+T254</f>
        <v>40000000</v>
      </c>
      <c r="W254" s="313">
        <v>1430000</v>
      </c>
      <c r="X254" s="353">
        <f t="shared" si="129"/>
        <v>26.972027972027973</v>
      </c>
      <c r="Y254" s="350"/>
      <c r="Z254" s="350"/>
      <c r="AA254" s="356">
        <f t="shared" si="130"/>
        <v>40000000</v>
      </c>
      <c r="AB254" s="270" t="s">
        <v>243</v>
      </c>
      <c r="AC254" s="393" t="s">
        <v>15</v>
      </c>
      <c r="AD254" s="358" t="s">
        <v>361</v>
      </c>
      <c r="AE254" s="358" t="s">
        <v>244</v>
      </c>
      <c r="AF254" s="359" t="str">
        <f t="shared" si="131"/>
        <v>CON-252</v>
      </c>
      <c r="AG254" s="270">
        <v>80111600</v>
      </c>
      <c r="AH254" s="249" t="s">
        <v>714</v>
      </c>
      <c r="AI254" s="301">
        <f t="shared" si="132"/>
        <v>45383</v>
      </c>
      <c r="AJ254" s="301">
        <f t="shared" si="133"/>
        <v>45383</v>
      </c>
      <c r="AK254" s="302">
        <f t="shared" si="134"/>
        <v>8</v>
      </c>
      <c r="AL254" s="303" t="s">
        <v>241</v>
      </c>
      <c r="AM254" s="304" t="s">
        <v>242</v>
      </c>
      <c r="AN254" s="305">
        <f t="shared" ref="AN254:AN257" si="137">+V254</f>
        <v>40000000</v>
      </c>
      <c r="AO254" s="305">
        <f t="shared" ref="AO254:AO257" si="138">+AN254</f>
        <v>40000000</v>
      </c>
      <c r="AP254" s="303" t="s">
        <v>244</v>
      </c>
      <c r="AQ254" s="303" t="s">
        <v>245</v>
      </c>
      <c r="AR254" s="360" t="s">
        <v>246</v>
      </c>
      <c r="AS254" s="306" t="s">
        <v>247</v>
      </c>
      <c r="AT254" s="307" t="s">
        <v>23</v>
      </c>
      <c r="AU254" s="308" t="s">
        <v>248</v>
      </c>
      <c r="AV254" s="361" t="s">
        <v>249</v>
      </c>
      <c r="AW254" s="303" t="s">
        <v>244</v>
      </c>
      <c r="AX254" s="303" t="s">
        <v>244</v>
      </c>
      <c r="AY254" s="394" t="s">
        <v>250</v>
      </c>
      <c r="AZ254" s="394" t="s">
        <v>251</v>
      </c>
      <c r="BA254" s="394" t="s">
        <v>252</v>
      </c>
      <c r="BB254" s="394" t="s">
        <v>250</v>
      </c>
      <c r="BC254" s="394"/>
      <c r="BD254" s="394"/>
    </row>
    <row r="255" spans="1:56" ht="75.75" customHeight="1" x14ac:dyDescent="0.2">
      <c r="A255" s="257">
        <v>253</v>
      </c>
      <c r="B255" s="299" t="s">
        <v>63</v>
      </c>
      <c r="C255" s="299" t="s">
        <v>25</v>
      </c>
      <c r="D255" s="299" t="s">
        <v>38</v>
      </c>
      <c r="E255" s="299"/>
      <c r="F255" s="350" t="s">
        <v>39</v>
      </c>
      <c r="G255" s="350" t="s">
        <v>75</v>
      </c>
      <c r="H255" s="299" t="s">
        <v>473</v>
      </c>
      <c r="I255" s="299">
        <v>1</v>
      </c>
      <c r="J255" s="311">
        <v>1750000</v>
      </c>
      <c r="K255" s="300">
        <f t="shared" si="127"/>
        <v>9.7559000000000005</v>
      </c>
      <c r="L255" s="311">
        <v>18822825</v>
      </c>
      <c r="M255" s="299">
        <v>1</v>
      </c>
      <c r="N255" s="299" t="s">
        <v>485</v>
      </c>
      <c r="O255" s="250">
        <v>45383</v>
      </c>
      <c r="P255" s="316">
        <v>45413</v>
      </c>
      <c r="Q255" s="312">
        <f t="shared" ref="Q255" si="139">IF($N255="MENSUAL",ROUND((((P255-O255))/30),0)*$L255*$M255,((P255-O255)/30)*$L255*$M255)</f>
        <v>18822825</v>
      </c>
      <c r="R255" s="250"/>
      <c r="S255" s="250"/>
      <c r="T255" s="312">
        <f t="shared" si="128"/>
        <v>0</v>
      </c>
      <c r="U255" s="318">
        <f t="shared" ref="U255" si="140">ROUND((((P255-O255)+(S255-R255))/30),0)</f>
        <v>1</v>
      </c>
      <c r="V255" s="396">
        <f t="shared" si="136"/>
        <v>18822825</v>
      </c>
      <c r="W255" s="313">
        <f>6964281*2.05</f>
        <v>14276776.049999999</v>
      </c>
      <c r="X255" s="353">
        <f>IF(W255="",1,IF(W255=0,1,((V255/W255)-1)))</f>
        <v>0.3184226560729726</v>
      </c>
      <c r="Y255" s="388"/>
      <c r="Z255" s="388"/>
      <c r="AA255" s="356">
        <f t="shared" si="130"/>
        <v>18822825</v>
      </c>
      <c r="AB255" s="270" t="s">
        <v>243</v>
      </c>
      <c r="AC255" s="393" t="s">
        <v>15</v>
      </c>
      <c r="AD255" s="358" t="s">
        <v>361</v>
      </c>
      <c r="AE255" s="358" t="s">
        <v>244</v>
      </c>
      <c r="AF255" s="359" t="str">
        <f t="shared" si="131"/>
        <v>CON-253</v>
      </c>
      <c r="AG255" s="270">
        <v>80111600</v>
      </c>
      <c r="AH255" s="249" t="s">
        <v>715</v>
      </c>
      <c r="AI255" s="301">
        <f t="shared" si="132"/>
        <v>45383</v>
      </c>
      <c r="AJ255" s="301">
        <f t="shared" si="133"/>
        <v>45383</v>
      </c>
      <c r="AK255" s="302">
        <f t="shared" si="134"/>
        <v>1</v>
      </c>
      <c r="AL255" s="303" t="s">
        <v>241</v>
      </c>
      <c r="AM255" s="304" t="s">
        <v>242</v>
      </c>
      <c r="AN255" s="305">
        <f t="shared" si="137"/>
        <v>18822825</v>
      </c>
      <c r="AO255" s="305">
        <f t="shared" si="138"/>
        <v>18822825</v>
      </c>
      <c r="AP255" s="303" t="s">
        <v>244</v>
      </c>
      <c r="AQ255" s="303" t="s">
        <v>245</v>
      </c>
      <c r="AR255" s="360" t="s">
        <v>246</v>
      </c>
      <c r="AS255" s="306" t="s">
        <v>247</v>
      </c>
      <c r="AT255" s="307" t="s">
        <v>38</v>
      </c>
      <c r="AU255" s="308" t="s">
        <v>248</v>
      </c>
      <c r="AV255" s="361" t="s">
        <v>249</v>
      </c>
      <c r="AW255" s="303" t="s">
        <v>244</v>
      </c>
      <c r="AX255" s="303" t="s">
        <v>244</v>
      </c>
      <c r="AY255" s="362" t="s">
        <v>250</v>
      </c>
      <c r="AZ255" s="363" t="s">
        <v>251</v>
      </c>
      <c r="BA255" s="363" t="s">
        <v>252</v>
      </c>
      <c r="BB255" s="363" t="s">
        <v>250</v>
      </c>
      <c r="BC255" s="363"/>
      <c r="BD255" s="363"/>
    </row>
    <row r="256" spans="1:56" ht="64.5" customHeight="1" x14ac:dyDescent="0.2">
      <c r="A256" s="257">
        <v>254</v>
      </c>
      <c r="B256" s="299" t="s">
        <v>63</v>
      </c>
      <c r="C256" s="299" t="s">
        <v>78</v>
      </c>
      <c r="D256" s="299" t="s">
        <v>717</v>
      </c>
      <c r="E256" s="299"/>
      <c r="F256" s="350"/>
      <c r="G256" s="350" t="s">
        <v>723</v>
      </c>
      <c r="H256" s="299" t="s">
        <v>473</v>
      </c>
      <c r="I256" s="299"/>
      <c r="J256" s="379"/>
      <c r="K256" s="300">
        <f t="shared" ref="K256" si="141">IF(J256="",1,((L256/J256)-1))</f>
        <v>1</v>
      </c>
      <c r="L256" s="311">
        <v>7100000</v>
      </c>
      <c r="M256" s="299">
        <v>1</v>
      </c>
      <c r="N256" s="299" t="s">
        <v>485</v>
      </c>
      <c r="O256" s="250">
        <v>45413</v>
      </c>
      <c r="P256" s="316">
        <v>45504</v>
      </c>
      <c r="Q256" s="312">
        <v>7100000</v>
      </c>
      <c r="R256" s="250"/>
      <c r="S256" s="250"/>
      <c r="T256" s="312">
        <f t="shared" ref="T256" si="142">IF($N256="MENSUAL",ROUND((((S256-R256))/30),0)*$L256,((S256-R256)/30)*$L256)</f>
        <v>0</v>
      </c>
      <c r="U256" s="318">
        <v>3</v>
      </c>
      <c r="V256" s="396">
        <f t="shared" ref="V256" si="143">+Q256+T256</f>
        <v>7100000</v>
      </c>
      <c r="W256" s="313">
        <v>1430000</v>
      </c>
      <c r="X256" s="353">
        <f t="shared" ref="X256" si="144">IF(W256="",1,((V256/W256)-1))</f>
        <v>3.965034965034965</v>
      </c>
      <c r="Y256" s="350"/>
      <c r="Z256" s="350"/>
      <c r="AA256" s="356">
        <f t="shared" ref="AA256" si="145">+V256</f>
        <v>7100000</v>
      </c>
      <c r="AB256" s="270" t="s">
        <v>243</v>
      </c>
      <c r="AC256" s="393" t="s">
        <v>1</v>
      </c>
      <c r="AD256" s="358" t="s">
        <v>361</v>
      </c>
      <c r="AE256" s="358" t="s">
        <v>244</v>
      </c>
      <c r="AF256" s="359" t="str">
        <f t="shared" ref="AF256" si="146">"CON-"&amp;A256</f>
        <v>CON-254</v>
      </c>
      <c r="AG256" s="270" t="s">
        <v>722</v>
      </c>
      <c r="AH256" s="249" t="s">
        <v>719</v>
      </c>
      <c r="AI256" s="301">
        <f t="shared" ref="AI256" si="147">+O256</f>
        <v>45413</v>
      </c>
      <c r="AJ256" s="301">
        <f t="shared" ref="AJ256" si="148">+AI256</f>
        <v>45413</v>
      </c>
      <c r="AK256" s="302">
        <f t="shared" ref="AK256" si="149">+U256</f>
        <v>3</v>
      </c>
      <c r="AL256" s="303" t="s">
        <v>241</v>
      </c>
      <c r="AM256" s="304" t="s">
        <v>242</v>
      </c>
      <c r="AN256" s="305">
        <f t="shared" ref="AN256" si="150">+V256</f>
        <v>7100000</v>
      </c>
      <c r="AO256" s="305">
        <f t="shared" ref="AO256" si="151">+AN256</f>
        <v>7100000</v>
      </c>
      <c r="AP256" s="303" t="s">
        <v>244</v>
      </c>
      <c r="AQ256" s="303" t="s">
        <v>245</v>
      </c>
      <c r="AR256" s="360" t="s">
        <v>246</v>
      </c>
      <c r="AS256" s="306" t="s">
        <v>247</v>
      </c>
      <c r="AT256" s="307" t="s">
        <v>718</v>
      </c>
      <c r="AU256" s="308" t="s">
        <v>248</v>
      </c>
      <c r="AV256" s="361" t="s">
        <v>249</v>
      </c>
      <c r="AW256" s="303" t="s">
        <v>244</v>
      </c>
      <c r="AX256" s="303" t="s">
        <v>244</v>
      </c>
      <c r="AY256" s="394" t="s">
        <v>250</v>
      </c>
      <c r="AZ256" s="394" t="s">
        <v>251</v>
      </c>
      <c r="BA256" s="394" t="s">
        <v>252</v>
      </c>
      <c r="BB256" s="394" t="s">
        <v>250</v>
      </c>
      <c r="BC256" s="394"/>
      <c r="BD256" s="394"/>
    </row>
    <row r="257" spans="1:56" ht="63" customHeight="1" x14ac:dyDescent="0.2">
      <c r="A257" s="257">
        <v>255</v>
      </c>
      <c r="B257" s="299" t="s">
        <v>63</v>
      </c>
      <c r="C257" s="299" t="s">
        <v>78</v>
      </c>
      <c r="D257" s="299" t="s">
        <v>717</v>
      </c>
      <c r="E257" s="299"/>
      <c r="F257" s="350"/>
      <c r="G257" s="350" t="s">
        <v>724</v>
      </c>
      <c r="H257" s="299" t="s">
        <v>473</v>
      </c>
      <c r="I257" s="299"/>
      <c r="J257" s="379"/>
      <c r="K257" s="300">
        <f t="shared" si="127"/>
        <v>1</v>
      </c>
      <c r="L257" s="311">
        <v>7600000</v>
      </c>
      <c r="M257" s="299">
        <v>1</v>
      </c>
      <c r="N257" s="299" t="s">
        <v>485</v>
      </c>
      <c r="O257" s="250">
        <v>45413</v>
      </c>
      <c r="P257" s="316">
        <v>45504</v>
      </c>
      <c r="Q257" s="312">
        <v>7600000</v>
      </c>
      <c r="R257" s="250"/>
      <c r="S257" s="250"/>
      <c r="T257" s="312">
        <f t="shared" si="128"/>
        <v>0</v>
      </c>
      <c r="U257" s="318">
        <v>3</v>
      </c>
      <c r="V257" s="396">
        <f t="shared" si="136"/>
        <v>7600000</v>
      </c>
      <c r="W257" s="313">
        <v>1430000</v>
      </c>
      <c r="X257" s="353">
        <f t="shared" ref="X257" si="152">IF(W257="",1,((V257/W257)-1))</f>
        <v>4.314685314685315</v>
      </c>
      <c r="Y257" s="350"/>
      <c r="Z257" s="350"/>
      <c r="AA257" s="356">
        <f t="shared" si="130"/>
        <v>7600000</v>
      </c>
      <c r="AB257" s="270" t="s">
        <v>243</v>
      </c>
      <c r="AC257" s="393" t="s">
        <v>1</v>
      </c>
      <c r="AD257" s="358" t="s">
        <v>361</v>
      </c>
      <c r="AE257" s="358" t="s">
        <v>244</v>
      </c>
      <c r="AF257" s="359" t="str">
        <f t="shared" si="131"/>
        <v>CON-255</v>
      </c>
      <c r="AG257" s="270" t="s">
        <v>722</v>
      </c>
      <c r="AH257" s="249" t="s">
        <v>720</v>
      </c>
      <c r="AI257" s="301">
        <f t="shared" si="132"/>
        <v>45413</v>
      </c>
      <c r="AJ257" s="301">
        <f t="shared" si="133"/>
        <v>45413</v>
      </c>
      <c r="AK257" s="302">
        <f t="shared" si="134"/>
        <v>3</v>
      </c>
      <c r="AL257" s="303" t="s">
        <v>241</v>
      </c>
      <c r="AM257" s="304" t="s">
        <v>242</v>
      </c>
      <c r="AN257" s="305">
        <f t="shared" si="137"/>
        <v>7600000</v>
      </c>
      <c r="AO257" s="305">
        <f t="shared" si="138"/>
        <v>7600000</v>
      </c>
      <c r="AP257" s="303" t="s">
        <v>244</v>
      </c>
      <c r="AQ257" s="303" t="s">
        <v>245</v>
      </c>
      <c r="AR257" s="360" t="s">
        <v>246</v>
      </c>
      <c r="AS257" s="306" t="s">
        <v>247</v>
      </c>
      <c r="AT257" s="307" t="s">
        <v>718</v>
      </c>
      <c r="AU257" s="308" t="s">
        <v>248</v>
      </c>
      <c r="AV257" s="361" t="s">
        <v>249</v>
      </c>
      <c r="AW257" s="303" t="s">
        <v>244</v>
      </c>
      <c r="AX257" s="303" t="s">
        <v>244</v>
      </c>
      <c r="AY257" s="394" t="s">
        <v>250</v>
      </c>
      <c r="AZ257" s="394" t="s">
        <v>251</v>
      </c>
      <c r="BA257" s="394" t="s">
        <v>252</v>
      </c>
      <c r="BB257" s="394" t="s">
        <v>250</v>
      </c>
      <c r="BC257" s="394"/>
      <c r="BD257" s="394"/>
    </row>
    <row r="258" spans="1:56" ht="63" customHeight="1" x14ac:dyDescent="0.2">
      <c r="A258" s="257">
        <v>256</v>
      </c>
      <c r="B258" s="299" t="s">
        <v>63</v>
      </c>
      <c r="C258" s="299" t="s">
        <v>78</v>
      </c>
      <c r="D258" s="299" t="s">
        <v>718</v>
      </c>
      <c r="E258" s="299"/>
      <c r="F258" s="350"/>
      <c r="G258" s="350" t="s">
        <v>724</v>
      </c>
      <c r="H258" s="299" t="s">
        <v>473</v>
      </c>
      <c r="I258" s="299"/>
      <c r="J258" s="379"/>
      <c r="K258" s="300">
        <f t="shared" ref="K258:K259" si="153">IF(J258="",1,((L258/J258)-1))</f>
        <v>1</v>
      </c>
      <c r="L258" s="311">
        <v>50000000</v>
      </c>
      <c r="M258" s="299">
        <v>1</v>
      </c>
      <c r="N258" s="299" t="s">
        <v>485</v>
      </c>
      <c r="O258" s="250">
        <v>45536</v>
      </c>
      <c r="P258" s="316">
        <v>45626</v>
      </c>
      <c r="Q258" s="312">
        <v>50000000</v>
      </c>
      <c r="R258" s="250"/>
      <c r="S258" s="250"/>
      <c r="T258" s="312">
        <f t="shared" ref="T258:T259" si="154">IF($N258="MENSUAL",ROUND((((S258-R258))/30),0)*$L258,((S258-R258)/30)*$L258)</f>
        <v>0</v>
      </c>
      <c r="U258" s="318">
        <v>3</v>
      </c>
      <c r="V258" s="396">
        <f t="shared" ref="V258:V259" si="155">+Q258+T258</f>
        <v>50000000</v>
      </c>
      <c r="W258" s="313">
        <v>1430000</v>
      </c>
      <c r="X258" s="353">
        <f t="shared" ref="X258:X259" si="156">IF(W258="",1,((V258/W258)-1))</f>
        <v>33.965034965034967</v>
      </c>
      <c r="Y258" s="350"/>
      <c r="Z258" s="350"/>
      <c r="AA258" s="356">
        <f t="shared" ref="AA258:AA259" si="157">+V258</f>
        <v>50000000</v>
      </c>
      <c r="AB258" s="270" t="s">
        <v>243</v>
      </c>
      <c r="AC258" s="393" t="s">
        <v>1</v>
      </c>
      <c r="AD258" s="358" t="s">
        <v>361</v>
      </c>
      <c r="AE258" s="358" t="s">
        <v>244</v>
      </c>
      <c r="AF258" s="359" t="str">
        <f t="shared" ref="AF258:AF266" si="158">"CON-"&amp;A258</f>
        <v>CON-256</v>
      </c>
      <c r="AG258" s="270" t="s">
        <v>722</v>
      </c>
      <c r="AH258" s="249" t="s">
        <v>721</v>
      </c>
      <c r="AI258" s="301">
        <f t="shared" ref="AI258:AI259" si="159">+O258</f>
        <v>45536</v>
      </c>
      <c r="AJ258" s="301">
        <f t="shared" ref="AJ258:AJ259" si="160">+AI258</f>
        <v>45536</v>
      </c>
      <c r="AK258" s="302">
        <f t="shared" ref="AK258:AK259" si="161">+U258</f>
        <v>3</v>
      </c>
      <c r="AL258" s="303" t="s">
        <v>241</v>
      </c>
      <c r="AM258" s="304" t="s">
        <v>242</v>
      </c>
      <c r="AN258" s="305">
        <f t="shared" ref="AN258:AN259" si="162">+V258</f>
        <v>50000000</v>
      </c>
      <c r="AO258" s="305">
        <f t="shared" ref="AO258:AO259" si="163">+AN258</f>
        <v>50000000</v>
      </c>
      <c r="AP258" s="303" t="s">
        <v>244</v>
      </c>
      <c r="AQ258" s="303" t="s">
        <v>245</v>
      </c>
      <c r="AR258" s="360" t="s">
        <v>246</v>
      </c>
      <c r="AS258" s="306" t="s">
        <v>247</v>
      </c>
      <c r="AT258" s="307" t="s">
        <v>718</v>
      </c>
      <c r="AU258" s="308" t="s">
        <v>248</v>
      </c>
      <c r="AV258" s="361" t="s">
        <v>249</v>
      </c>
      <c r="AW258" s="303" t="s">
        <v>244</v>
      </c>
      <c r="AX258" s="303" t="s">
        <v>244</v>
      </c>
      <c r="AY258" s="394" t="s">
        <v>250</v>
      </c>
      <c r="AZ258" s="394" t="s">
        <v>251</v>
      </c>
      <c r="BA258" s="394" t="s">
        <v>252</v>
      </c>
      <c r="BB258" s="394" t="s">
        <v>250</v>
      </c>
      <c r="BC258" s="394"/>
      <c r="BD258" s="394"/>
    </row>
    <row r="259" spans="1:56" ht="76.5" customHeight="1" x14ac:dyDescent="0.2">
      <c r="A259" s="257">
        <v>257</v>
      </c>
      <c r="B259" s="299" t="s">
        <v>63</v>
      </c>
      <c r="C259" s="299" t="s">
        <v>13</v>
      </c>
      <c r="D259" s="299" t="s">
        <v>74</v>
      </c>
      <c r="E259" s="299"/>
      <c r="F259" s="350" t="s">
        <v>383</v>
      </c>
      <c r="G259" s="350" t="s">
        <v>374</v>
      </c>
      <c r="H259" s="299" t="s">
        <v>67</v>
      </c>
      <c r="I259" s="299">
        <v>6</v>
      </c>
      <c r="J259" s="251">
        <v>6000000</v>
      </c>
      <c r="K259" s="300">
        <f t="shared" si="153"/>
        <v>3.3333333333333437E-2</v>
      </c>
      <c r="L259" s="311">
        <f>IF(H259="OTRO",(J259*1.05),VLOOKUP((I259&amp;H259),'ESCALAS Salarios'!$D$2:$F$30,3,0))</f>
        <v>6200000</v>
      </c>
      <c r="M259" s="299">
        <v>1</v>
      </c>
      <c r="N259" s="299" t="s">
        <v>485</v>
      </c>
      <c r="O259" s="250">
        <v>45413</v>
      </c>
      <c r="P259" s="316">
        <v>45639</v>
      </c>
      <c r="Q259" s="312">
        <f t="shared" ref="Q259" si="164">IF($N259="MENSUAL",ROUND((((P259-O259))/30),0)*$L259*$M259,((P259-O259)/30)*$L259*$M259)</f>
        <v>46706666.666666664</v>
      </c>
      <c r="R259" s="250"/>
      <c r="S259" s="250"/>
      <c r="T259" s="312">
        <f t="shared" si="154"/>
        <v>0</v>
      </c>
      <c r="U259" s="318">
        <f t="shared" ref="U259" si="165">ROUND((((P259-O259)+(S259-R259))/30),0)</f>
        <v>8</v>
      </c>
      <c r="V259" s="352">
        <f t="shared" si="155"/>
        <v>46706666.666666664</v>
      </c>
      <c r="W259" s="313">
        <v>66800000</v>
      </c>
      <c r="X259" s="353">
        <f t="shared" si="156"/>
        <v>-0.30079840319361284</v>
      </c>
      <c r="Y259" s="375">
        <v>52374854</v>
      </c>
      <c r="Z259" s="376" t="s">
        <v>26</v>
      </c>
      <c r="AA259" s="356">
        <f t="shared" si="157"/>
        <v>46706666.666666664</v>
      </c>
      <c r="AB259" s="350" t="s">
        <v>243</v>
      </c>
      <c r="AC259" s="393" t="s">
        <v>1</v>
      </c>
      <c r="AD259" s="358" t="s">
        <v>361</v>
      </c>
      <c r="AE259" s="358" t="s">
        <v>244</v>
      </c>
      <c r="AF259" s="359" t="str">
        <f t="shared" si="158"/>
        <v>CON-257</v>
      </c>
      <c r="AG259" s="270">
        <v>80111600</v>
      </c>
      <c r="AH259" s="249" t="s">
        <v>725</v>
      </c>
      <c r="AI259" s="301">
        <f t="shared" si="159"/>
        <v>45413</v>
      </c>
      <c r="AJ259" s="301">
        <f t="shared" si="160"/>
        <v>45413</v>
      </c>
      <c r="AK259" s="302">
        <f t="shared" si="161"/>
        <v>8</v>
      </c>
      <c r="AL259" s="303" t="s">
        <v>241</v>
      </c>
      <c r="AM259" s="304" t="s">
        <v>242</v>
      </c>
      <c r="AN259" s="305">
        <f t="shared" si="162"/>
        <v>46706666.666666664</v>
      </c>
      <c r="AO259" s="305">
        <f t="shared" si="163"/>
        <v>46706666.666666664</v>
      </c>
      <c r="AP259" s="303" t="s">
        <v>244</v>
      </c>
      <c r="AQ259" s="303" t="s">
        <v>245</v>
      </c>
      <c r="AR259" s="360" t="s">
        <v>246</v>
      </c>
      <c r="AS259" s="306" t="s">
        <v>247</v>
      </c>
      <c r="AT259" s="307" t="str">
        <f t="shared" ref="AT259" si="166">D259</f>
        <v>DESPACHO VAC</v>
      </c>
      <c r="AU259" s="308" t="s">
        <v>248</v>
      </c>
      <c r="AV259" s="361" t="s">
        <v>249</v>
      </c>
      <c r="AW259" s="303" t="s">
        <v>244</v>
      </c>
      <c r="AX259" s="303" t="s">
        <v>244</v>
      </c>
      <c r="AY259" s="362" t="s">
        <v>250</v>
      </c>
      <c r="AZ259" s="363" t="s">
        <v>251</v>
      </c>
      <c r="BA259" s="363" t="s">
        <v>252</v>
      </c>
      <c r="BB259" s="363" t="s">
        <v>250</v>
      </c>
      <c r="BC259" s="363"/>
      <c r="BD259" s="363"/>
    </row>
    <row r="260" spans="1:56" ht="60" x14ac:dyDescent="0.2">
      <c r="A260" s="257">
        <v>258</v>
      </c>
      <c r="B260" s="299" t="s">
        <v>90</v>
      </c>
      <c r="C260" s="299" t="s">
        <v>78</v>
      </c>
      <c r="D260" s="299" t="s">
        <v>375</v>
      </c>
      <c r="E260" s="299"/>
      <c r="F260" s="350" t="s">
        <v>383</v>
      </c>
      <c r="G260" s="350" t="s">
        <v>374</v>
      </c>
      <c r="H260" s="45" t="s">
        <v>69</v>
      </c>
      <c r="I260" s="299"/>
      <c r="J260" s="279">
        <v>1967592.5925925926</v>
      </c>
      <c r="K260" s="300">
        <v>5.0000000000000044E-2</v>
      </c>
      <c r="L260" s="411">
        <v>2782734</v>
      </c>
      <c r="M260" s="299">
        <v>1</v>
      </c>
      <c r="N260" s="299" t="s">
        <v>686</v>
      </c>
      <c r="O260" s="250">
        <v>45419</v>
      </c>
      <c r="P260" s="316">
        <v>45472</v>
      </c>
      <c r="Q260" s="412">
        <v>2782734</v>
      </c>
      <c r="R260" s="317"/>
      <c r="S260" s="317"/>
      <c r="T260" s="412">
        <v>0</v>
      </c>
      <c r="U260" s="413">
        <v>2</v>
      </c>
      <c r="V260" s="412">
        <v>2782734</v>
      </c>
      <c r="W260" s="414">
        <v>1750000000</v>
      </c>
      <c r="X260" s="353">
        <v>-0.43899999999999995</v>
      </c>
      <c r="Y260" s="376"/>
      <c r="Z260" s="376" t="s">
        <v>376</v>
      </c>
      <c r="AA260" s="414">
        <f>V260</f>
        <v>2782734</v>
      </c>
      <c r="AB260" s="270" t="s">
        <v>243</v>
      </c>
      <c r="AC260" s="393" t="s">
        <v>373</v>
      </c>
      <c r="AD260" s="393" t="s">
        <v>361</v>
      </c>
      <c r="AE260" s="358" t="s">
        <v>244</v>
      </c>
      <c r="AF260" s="359" t="str">
        <f>"CLE-"&amp;A260</f>
        <v>CLE-258</v>
      </c>
      <c r="AG260" s="270">
        <v>80111600</v>
      </c>
      <c r="AH260" s="310" t="s">
        <v>726</v>
      </c>
      <c r="AI260" s="301" t="s">
        <v>390</v>
      </c>
      <c r="AJ260" s="301" t="s">
        <v>390</v>
      </c>
      <c r="AK260" s="302">
        <v>2</v>
      </c>
      <c r="AL260" s="303" t="s">
        <v>241</v>
      </c>
      <c r="AM260" s="304" t="s">
        <v>242</v>
      </c>
      <c r="AN260" s="415">
        <v>2782734</v>
      </c>
      <c r="AO260" s="415">
        <v>2782734</v>
      </c>
      <c r="AP260" s="303" t="s">
        <v>244</v>
      </c>
      <c r="AQ260" s="303" t="s">
        <v>245</v>
      </c>
      <c r="AR260" s="360" t="s">
        <v>246</v>
      </c>
      <c r="AS260" s="306" t="s">
        <v>247</v>
      </c>
      <c r="AT260" s="307" t="s">
        <v>372</v>
      </c>
      <c r="AU260" s="308" t="s">
        <v>248</v>
      </c>
      <c r="AV260" s="361" t="s">
        <v>249</v>
      </c>
      <c r="AW260" s="303" t="s">
        <v>244</v>
      </c>
      <c r="AX260" s="303" t="s">
        <v>244</v>
      </c>
      <c r="AY260" s="394" t="s">
        <v>250</v>
      </c>
      <c r="AZ260" s="394" t="s">
        <v>251</v>
      </c>
      <c r="BA260" s="394" t="s">
        <v>252</v>
      </c>
      <c r="BB260" s="394" t="s">
        <v>250</v>
      </c>
      <c r="BC260" s="394"/>
      <c r="BD260" s="394"/>
    </row>
    <row r="261" spans="1:56" ht="60" x14ac:dyDescent="0.2">
      <c r="A261" s="257">
        <v>259</v>
      </c>
      <c r="B261" s="299" t="s">
        <v>90</v>
      </c>
      <c r="C261" s="299" t="s">
        <v>78</v>
      </c>
      <c r="D261" s="299" t="s">
        <v>375</v>
      </c>
      <c r="E261" s="299"/>
      <c r="F261" s="350" t="s">
        <v>383</v>
      </c>
      <c r="G261" s="350" t="s">
        <v>374</v>
      </c>
      <c r="H261" s="45" t="s">
        <v>67</v>
      </c>
      <c r="I261" s="299"/>
      <c r="J261" s="279"/>
      <c r="K261" s="300"/>
      <c r="L261" s="411">
        <v>4033724</v>
      </c>
      <c r="M261" s="299">
        <v>1</v>
      </c>
      <c r="N261" s="299" t="s">
        <v>686</v>
      </c>
      <c r="O261" s="250">
        <v>45419</v>
      </c>
      <c r="P261" s="316">
        <v>45472</v>
      </c>
      <c r="Q261" s="412">
        <v>4033724</v>
      </c>
      <c r="R261" s="317"/>
      <c r="S261" s="317"/>
      <c r="T261" s="412">
        <v>0</v>
      </c>
      <c r="U261" s="413">
        <v>2</v>
      </c>
      <c r="V261" s="412">
        <v>4033724</v>
      </c>
      <c r="W261" s="414"/>
      <c r="X261" s="353"/>
      <c r="Y261" s="376"/>
      <c r="Z261" s="376"/>
      <c r="AA261" s="414">
        <f t="shared" ref="AA261:AA262" si="167">V261</f>
        <v>4033724</v>
      </c>
      <c r="AB261" s="270" t="s">
        <v>243</v>
      </c>
      <c r="AC261" s="393" t="s">
        <v>373</v>
      </c>
      <c r="AD261" s="393" t="s">
        <v>361</v>
      </c>
      <c r="AE261" s="358" t="s">
        <v>244</v>
      </c>
      <c r="AF261" s="359" t="str">
        <f t="shared" ref="AF261:AF262" si="168">"CLE-"&amp;A261</f>
        <v>CLE-259</v>
      </c>
      <c r="AG261" s="270">
        <v>80111600</v>
      </c>
      <c r="AH261" s="310" t="s">
        <v>727</v>
      </c>
      <c r="AI261" s="301" t="s">
        <v>390</v>
      </c>
      <c r="AJ261" s="301" t="s">
        <v>390</v>
      </c>
      <c r="AK261" s="302">
        <v>2</v>
      </c>
      <c r="AL261" s="303" t="s">
        <v>241</v>
      </c>
      <c r="AM261" s="304" t="s">
        <v>242</v>
      </c>
      <c r="AN261" s="415">
        <v>4033724</v>
      </c>
      <c r="AO261" s="415">
        <v>4033724</v>
      </c>
      <c r="AP261" s="303" t="s">
        <v>244</v>
      </c>
      <c r="AQ261" s="303" t="s">
        <v>245</v>
      </c>
      <c r="AR261" s="360" t="s">
        <v>246</v>
      </c>
      <c r="AS261" s="306" t="s">
        <v>247</v>
      </c>
      <c r="AT261" s="307" t="s">
        <v>372</v>
      </c>
      <c r="AU261" s="308" t="s">
        <v>248</v>
      </c>
      <c r="AV261" s="361" t="s">
        <v>249</v>
      </c>
      <c r="AW261" s="303" t="s">
        <v>244</v>
      </c>
      <c r="AX261" s="303" t="s">
        <v>244</v>
      </c>
      <c r="AY261" s="394" t="s">
        <v>250</v>
      </c>
      <c r="AZ261" s="394" t="s">
        <v>251</v>
      </c>
      <c r="BA261" s="394" t="s">
        <v>252</v>
      </c>
      <c r="BB261" s="394" t="s">
        <v>250</v>
      </c>
      <c r="BC261" s="394"/>
      <c r="BD261" s="394"/>
    </row>
    <row r="262" spans="1:56" ht="60" x14ac:dyDescent="0.2">
      <c r="A262" s="257">
        <v>260</v>
      </c>
      <c r="B262" s="299" t="s">
        <v>90</v>
      </c>
      <c r="C262" s="299" t="s">
        <v>78</v>
      </c>
      <c r="D262" s="299" t="s">
        <v>375</v>
      </c>
      <c r="E262" s="299"/>
      <c r="F262" s="350" t="s">
        <v>383</v>
      </c>
      <c r="G262" s="350" t="s">
        <v>374</v>
      </c>
      <c r="H262" s="45" t="s">
        <v>69</v>
      </c>
      <c r="I262" s="299"/>
      <c r="J262" s="279">
        <v>1967592.5925925926</v>
      </c>
      <c r="K262" s="300">
        <v>5.0000000000000044E-2</v>
      </c>
      <c r="L262" s="411">
        <v>2831534</v>
      </c>
      <c r="M262" s="299">
        <v>1</v>
      </c>
      <c r="N262" s="299" t="s">
        <v>686</v>
      </c>
      <c r="O262" s="250">
        <v>45419</v>
      </c>
      <c r="P262" s="316">
        <v>45472</v>
      </c>
      <c r="Q262" s="412">
        <v>2831534</v>
      </c>
      <c r="R262" s="317"/>
      <c r="S262" s="317"/>
      <c r="T262" s="412">
        <v>0</v>
      </c>
      <c r="U262" s="413">
        <v>2</v>
      </c>
      <c r="V262" s="412">
        <v>2831534</v>
      </c>
      <c r="W262" s="414">
        <v>1750000000</v>
      </c>
      <c r="X262" s="353">
        <v>-0.43899999999999995</v>
      </c>
      <c r="Y262" s="376"/>
      <c r="Z262" s="376" t="s">
        <v>376</v>
      </c>
      <c r="AA262" s="414">
        <f t="shared" si="167"/>
        <v>2831534</v>
      </c>
      <c r="AB262" s="270" t="s">
        <v>243</v>
      </c>
      <c r="AC262" s="393" t="s">
        <v>373</v>
      </c>
      <c r="AD262" s="393" t="s">
        <v>361</v>
      </c>
      <c r="AE262" s="358" t="s">
        <v>244</v>
      </c>
      <c r="AF262" s="359" t="str">
        <f t="shared" si="168"/>
        <v>CLE-260</v>
      </c>
      <c r="AG262" s="270">
        <v>80111600</v>
      </c>
      <c r="AH262" s="310" t="s">
        <v>728</v>
      </c>
      <c r="AI262" s="301" t="s">
        <v>390</v>
      </c>
      <c r="AJ262" s="301" t="s">
        <v>390</v>
      </c>
      <c r="AK262" s="302">
        <v>2</v>
      </c>
      <c r="AL262" s="303" t="s">
        <v>241</v>
      </c>
      <c r="AM262" s="304" t="s">
        <v>242</v>
      </c>
      <c r="AN262" s="415">
        <v>2831534</v>
      </c>
      <c r="AO262" s="415">
        <v>2831534</v>
      </c>
      <c r="AP262" s="303" t="s">
        <v>244</v>
      </c>
      <c r="AQ262" s="303" t="s">
        <v>245</v>
      </c>
      <c r="AR262" s="360" t="s">
        <v>246</v>
      </c>
      <c r="AS262" s="306" t="s">
        <v>247</v>
      </c>
      <c r="AT262" s="307" t="s">
        <v>372</v>
      </c>
      <c r="AU262" s="308" t="s">
        <v>248</v>
      </c>
      <c r="AV262" s="361" t="s">
        <v>249</v>
      </c>
      <c r="AW262" s="303" t="s">
        <v>244</v>
      </c>
      <c r="AX262" s="303" t="s">
        <v>244</v>
      </c>
      <c r="AY262" s="394" t="s">
        <v>250</v>
      </c>
      <c r="AZ262" s="394" t="s">
        <v>251</v>
      </c>
      <c r="BA262" s="394" t="s">
        <v>252</v>
      </c>
      <c r="BB262" s="394" t="s">
        <v>250</v>
      </c>
      <c r="BC262" s="394"/>
      <c r="BD262" s="394"/>
    </row>
    <row r="263" spans="1:56" ht="67.5" customHeight="1" x14ac:dyDescent="0.2">
      <c r="A263" s="257">
        <v>261</v>
      </c>
      <c r="B263" s="299" t="s">
        <v>63</v>
      </c>
      <c r="C263" s="299" t="s">
        <v>65</v>
      </c>
      <c r="D263" s="299" t="s">
        <v>65</v>
      </c>
      <c r="E263" s="299"/>
      <c r="F263" s="350" t="s">
        <v>479</v>
      </c>
      <c r="G263" s="350" t="s">
        <v>64</v>
      </c>
      <c r="H263" s="299" t="s">
        <v>471</v>
      </c>
      <c r="I263" s="299">
        <v>3</v>
      </c>
      <c r="J263" s="251">
        <v>4089616</v>
      </c>
      <c r="K263" s="300">
        <v>0.40600000000000003</v>
      </c>
      <c r="L263" s="311">
        <v>8000000</v>
      </c>
      <c r="M263" s="299">
        <v>1</v>
      </c>
      <c r="N263" s="299" t="s">
        <v>486</v>
      </c>
      <c r="O263" s="250">
        <v>45427</v>
      </c>
      <c r="P263" s="316">
        <v>45649</v>
      </c>
      <c r="Q263" s="312">
        <f>L263*U263</f>
        <v>64000000</v>
      </c>
      <c r="R263" s="351"/>
      <c r="S263" s="250"/>
      <c r="T263" s="312">
        <f>IF($N263="MENSUAL",ROUND((((S263-R263))/30),0)*$L263,((S263-R263)/30)*$L263)</f>
        <v>0</v>
      </c>
      <c r="U263" s="318">
        <v>8</v>
      </c>
      <c r="V263" s="312">
        <f>+Q263+T263</f>
        <v>64000000</v>
      </c>
      <c r="W263" s="313">
        <v>49102289.434799999</v>
      </c>
      <c r="X263" s="353">
        <f>IF(W263="",1,((V263/W263)-1))</f>
        <v>0.30340154678493714</v>
      </c>
      <c r="Y263" s="354"/>
      <c r="Z263" s="355" t="s">
        <v>19</v>
      </c>
      <c r="AA263" s="356">
        <f>+V263</f>
        <v>64000000</v>
      </c>
      <c r="AB263" s="270" t="s">
        <v>243</v>
      </c>
      <c r="AC263" s="393" t="s">
        <v>1</v>
      </c>
      <c r="AD263" s="393" t="s">
        <v>361</v>
      </c>
      <c r="AE263" s="358" t="s">
        <v>244</v>
      </c>
      <c r="AF263" s="359" t="str">
        <f t="shared" si="158"/>
        <v>CON-261</v>
      </c>
      <c r="AG263" s="270">
        <v>80161500</v>
      </c>
      <c r="AH263" s="310" t="s">
        <v>729</v>
      </c>
      <c r="AI263" s="301">
        <f t="shared" ref="AI263:AI266" si="169">+O263</f>
        <v>45427</v>
      </c>
      <c r="AJ263" s="301">
        <f>+AI263</f>
        <v>45427</v>
      </c>
      <c r="AK263" s="302">
        <f t="shared" ref="AK263:AK266" si="170">+U263</f>
        <v>8</v>
      </c>
      <c r="AL263" s="303" t="s">
        <v>241</v>
      </c>
      <c r="AM263" s="304" t="s">
        <v>242</v>
      </c>
      <c r="AN263" s="305">
        <f>+V263</f>
        <v>64000000</v>
      </c>
      <c r="AO263" s="305">
        <f>+AN263</f>
        <v>64000000</v>
      </c>
      <c r="AP263" s="303" t="s">
        <v>244</v>
      </c>
      <c r="AQ263" s="303" t="s">
        <v>245</v>
      </c>
      <c r="AR263" s="360" t="s">
        <v>246</v>
      </c>
      <c r="AS263" s="306" t="s">
        <v>247</v>
      </c>
      <c r="AT263" s="307" t="str">
        <f t="shared" ref="AT263:AT266" si="171">D263</f>
        <v>RECTORÍA</v>
      </c>
      <c r="AU263" s="308" t="s">
        <v>248</v>
      </c>
      <c r="AV263" s="361" t="s">
        <v>249</v>
      </c>
      <c r="AW263" s="303" t="s">
        <v>244</v>
      </c>
      <c r="AX263" s="303" t="s">
        <v>244</v>
      </c>
      <c r="AY263" s="362" t="s">
        <v>250</v>
      </c>
      <c r="AZ263" s="363" t="s">
        <v>251</v>
      </c>
      <c r="BA263" s="363" t="s">
        <v>252</v>
      </c>
      <c r="BB263" s="363" t="s">
        <v>250</v>
      </c>
      <c r="BC263" s="363"/>
      <c r="BD263" s="363"/>
    </row>
    <row r="264" spans="1:56" ht="59.25" customHeight="1" x14ac:dyDescent="0.2">
      <c r="A264" s="257">
        <v>262</v>
      </c>
      <c r="B264" s="299" t="s">
        <v>63</v>
      </c>
      <c r="C264" s="299" t="s">
        <v>65</v>
      </c>
      <c r="D264" s="299" t="s">
        <v>9</v>
      </c>
      <c r="E264" s="299"/>
      <c r="F264" s="350" t="s">
        <v>383</v>
      </c>
      <c r="G264" s="350" t="s">
        <v>374</v>
      </c>
      <c r="H264" s="299" t="s">
        <v>67</v>
      </c>
      <c r="I264" s="299">
        <v>4</v>
      </c>
      <c r="J264" s="251">
        <v>5500000</v>
      </c>
      <c r="K264" s="300">
        <f t="shared" ref="K264:K266" si="172">IF(J264="",1,((L264/J264)-1))</f>
        <v>3.6363636363636376E-2</v>
      </c>
      <c r="L264" s="311">
        <f>IF(H264="OTRO",(J264*1.05),VLOOKUP((I264&amp;H264),'ESCALAS Salarios'!$D$2:$F$30,3,0))</f>
        <v>5700000</v>
      </c>
      <c r="M264" s="299">
        <v>1</v>
      </c>
      <c r="N264" s="299" t="s">
        <v>486</v>
      </c>
      <c r="O264" s="250">
        <v>45427</v>
      </c>
      <c r="P264" s="316">
        <v>45649</v>
      </c>
      <c r="Q264" s="312">
        <f t="shared" ref="Q264:Q265" si="173">L264*U264</f>
        <v>45600000</v>
      </c>
      <c r="R264" s="250"/>
      <c r="S264" s="250"/>
      <c r="T264" s="312">
        <f t="shared" ref="T264:T265" si="174">IF($N264="MENSUAL",ROUND((((S264-R264))/30),0)*$L264,((S264-R264)/30)*$L264)</f>
        <v>0</v>
      </c>
      <c r="U264" s="318">
        <v>8</v>
      </c>
      <c r="V264" s="312">
        <f t="shared" ref="V264:V265" si="175">+Q264+T264</f>
        <v>45600000</v>
      </c>
      <c r="W264" s="313"/>
      <c r="X264" s="353">
        <f t="shared" ref="X264:X266" si="176">IF(W264="",1,((V264/W264)-1))</f>
        <v>1</v>
      </c>
      <c r="Y264" s="372"/>
      <c r="Z264" s="373" t="s">
        <v>490</v>
      </c>
      <c r="AA264" s="356">
        <f t="shared" ref="AA264:AA266" si="177">+V264</f>
        <v>45600000</v>
      </c>
      <c r="AB264" s="270" t="s">
        <v>243</v>
      </c>
      <c r="AC264" s="393" t="s">
        <v>1</v>
      </c>
      <c r="AD264" s="358" t="s">
        <v>361</v>
      </c>
      <c r="AE264" s="358" t="s">
        <v>244</v>
      </c>
      <c r="AF264" s="359" t="str">
        <f t="shared" si="158"/>
        <v>CON-262</v>
      </c>
      <c r="AG264" s="270">
        <v>80111600</v>
      </c>
      <c r="AH264" s="249" t="s">
        <v>730</v>
      </c>
      <c r="AI264" s="301">
        <f t="shared" si="169"/>
        <v>45427</v>
      </c>
      <c r="AJ264" s="301">
        <f t="shared" ref="AJ264:AJ266" si="178">+AI264</f>
        <v>45427</v>
      </c>
      <c r="AK264" s="302">
        <f t="shared" si="170"/>
        <v>8</v>
      </c>
      <c r="AL264" s="303" t="s">
        <v>241</v>
      </c>
      <c r="AM264" s="304" t="s">
        <v>242</v>
      </c>
      <c r="AN264" s="305">
        <f t="shared" ref="AN264:AN266" si="179">+V264</f>
        <v>45600000</v>
      </c>
      <c r="AO264" s="305">
        <f t="shared" ref="AO264:AO266" si="180">+AN264</f>
        <v>45600000</v>
      </c>
      <c r="AP264" s="303" t="s">
        <v>244</v>
      </c>
      <c r="AQ264" s="303" t="s">
        <v>245</v>
      </c>
      <c r="AR264" s="360" t="s">
        <v>246</v>
      </c>
      <c r="AS264" s="306" t="s">
        <v>247</v>
      </c>
      <c r="AT264" s="307" t="str">
        <f t="shared" si="171"/>
        <v xml:space="preserve">OFICINA DE DESARROLLO Y PLANEACIÓN </v>
      </c>
      <c r="AU264" s="308" t="s">
        <v>248</v>
      </c>
      <c r="AV264" s="361" t="s">
        <v>249</v>
      </c>
      <c r="AW264" s="303" t="s">
        <v>244</v>
      </c>
      <c r="AX264" s="303" t="s">
        <v>244</v>
      </c>
      <c r="AY264" s="362" t="s">
        <v>250</v>
      </c>
      <c r="AZ264" s="363" t="s">
        <v>251</v>
      </c>
      <c r="BA264" s="363" t="s">
        <v>252</v>
      </c>
      <c r="BB264" s="363" t="s">
        <v>250</v>
      </c>
      <c r="BC264" s="363"/>
      <c r="BD264" s="363"/>
    </row>
    <row r="265" spans="1:56" ht="81.75" customHeight="1" x14ac:dyDescent="0.2">
      <c r="A265" s="257">
        <v>263</v>
      </c>
      <c r="B265" s="299" t="s">
        <v>63</v>
      </c>
      <c r="C265" s="299" t="s">
        <v>65</v>
      </c>
      <c r="D265" s="299" t="s">
        <v>65</v>
      </c>
      <c r="E265" s="299"/>
      <c r="F265" s="350" t="s">
        <v>383</v>
      </c>
      <c r="G265" s="350" t="s">
        <v>374</v>
      </c>
      <c r="H265" s="299" t="s">
        <v>471</v>
      </c>
      <c r="I265" s="299">
        <v>3</v>
      </c>
      <c r="J265" s="251">
        <v>4200000</v>
      </c>
      <c r="K265" s="300">
        <f t="shared" si="172"/>
        <v>0.90476190476190466</v>
      </c>
      <c r="L265" s="311">
        <v>8000000</v>
      </c>
      <c r="M265" s="299">
        <v>1</v>
      </c>
      <c r="N265" s="299" t="s">
        <v>485</v>
      </c>
      <c r="O265" s="250">
        <v>45427</v>
      </c>
      <c r="P265" s="316">
        <v>45649</v>
      </c>
      <c r="Q265" s="312">
        <f t="shared" si="173"/>
        <v>64000000</v>
      </c>
      <c r="R265" s="250"/>
      <c r="S265" s="250"/>
      <c r="T265" s="312">
        <f t="shared" si="174"/>
        <v>0</v>
      </c>
      <c r="U265" s="318">
        <v>8</v>
      </c>
      <c r="V265" s="312">
        <f t="shared" si="175"/>
        <v>64000000</v>
      </c>
      <c r="W265" s="313">
        <v>55000000</v>
      </c>
      <c r="X265" s="353">
        <f t="shared" si="176"/>
        <v>0.16363636363636358</v>
      </c>
      <c r="Y265" s="372">
        <v>1022374467</v>
      </c>
      <c r="Z265" s="373" t="s">
        <v>410</v>
      </c>
      <c r="AA265" s="356">
        <f t="shared" si="177"/>
        <v>64000000</v>
      </c>
      <c r="AB265" s="270" t="s">
        <v>243</v>
      </c>
      <c r="AC265" s="393" t="s">
        <v>1</v>
      </c>
      <c r="AD265" s="358" t="s">
        <v>361</v>
      </c>
      <c r="AE265" s="358" t="s">
        <v>244</v>
      </c>
      <c r="AF265" s="359" t="str">
        <f t="shared" si="158"/>
        <v>CON-263</v>
      </c>
      <c r="AG265" s="270">
        <v>80111600</v>
      </c>
      <c r="AH265" s="249" t="s">
        <v>731</v>
      </c>
      <c r="AI265" s="301">
        <f t="shared" si="169"/>
        <v>45427</v>
      </c>
      <c r="AJ265" s="301">
        <f t="shared" si="178"/>
        <v>45427</v>
      </c>
      <c r="AK265" s="302">
        <f t="shared" si="170"/>
        <v>8</v>
      </c>
      <c r="AL265" s="303" t="s">
        <v>241</v>
      </c>
      <c r="AM265" s="304" t="s">
        <v>242</v>
      </c>
      <c r="AN265" s="305">
        <f t="shared" si="179"/>
        <v>64000000</v>
      </c>
      <c r="AO265" s="305">
        <f t="shared" si="180"/>
        <v>64000000</v>
      </c>
      <c r="AP265" s="303" t="s">
        <v>244</v>
      </c>
      <c r="AQ265" s="303" t="s">
        <v>245</v>
      </c>
      <c r="AR265" s="360" t="s">
        <v>246</v>
      </c>
      <c r="AS265" s="306" t="s">
        <v>247</v>
      </c>
      <c r="AT265" s="307" t="str">
        <f t="shared" si="171"/>
        <v>RECTORÍA</v>
      </c>
      <c r="AU265" s="308" t="s">
        <v>248</v>
      </c>
      <c r="AV265" s="361" t="s">
        <v>249</v>
      </c>
      <c r="AW265" s="303" t="s">
        <v>244</v>
      </c>
      <c r="AX265" s="303" t="s">
        <v>244</v>
      </c>
      <c r="AY265" s="362" t="s">
        <v>250</v>
      </c>
      <c r="AZ265" s="363" t="s">
        <v>251</v>
      </c>
      <c r="BA265" s="363" t="s">
        <v>252</v>
      </c>
      <c r="BB265" s="363" t="s">
        <v>250</v>
      </c>
      <c r="BC265" s="363"/>
      <c r="BD265" s="363"/>
    </row>
    <row r="266" spans="1:56" ht="63.75" customHeight="1" x14ac:dyDescent="0.2">
      <c r="A266" s="257">
        <v>264</v>
      </c>
      <c r="B266" s="299" t="s">
        <v>63</v>
      </c>
      <c r="C266" s="299" t="s">
        <v>48</v>
      </c>
      <c r="D266" s="299" t="s">
        <v>48</v>
      </c>
      <c r="E266" s="299"/>
      <c r="F266" s="350" t="s">
        <v>383</v>
      </c>
      <c r="G266" s="350" t="s">
        <v>374</v>
      </c>
      <c r="H266" s="299" t="s">
        <v>69</v>
      </c>
      <c r="I266" s="299">
        <v>1</v>
      </c>
      <c r="J266" s="251">
        <v>3000000</v>
      </c>
      <c r="K266" s="300">
        <f t="shared" si="172"/>
        <v>3.3333333333333437E-2</v>
      </c>
      <c r="L266" s="311">
        <f>IF(H266="OTRO",(J266*1.05),VLOOKUP((I266&amp;H266),'ESCALAS Salarios'!$D$2:$F$30,3,0))</f>
        <v>3100000</v>
      </c>
      <c r="M266" s="299">
        <v>1</v>
      </c>
      <c r="N266" s="299" t="s">
        <v>485</v>
      </c>
      <c r="O266" s="250">
        <v>45627</v>
      </c>
      <c r="P266" s="316">
        <v>45649</v>
      </c>
      <c r="Q266" s="312">
        <v>3100000</v>
      </c>
      <c r="R266" s="250"/>
      <c r="S266" s="250"/>
      <c r="T266" s="312">
        <v>3100000</v>
      </c>
      <c r="U266" s="318">
        <f>ROUND((((P266-O266)+(S266-R266))/30),0)</f>
        <v>1</v>
      </c>
      <c r="V266" s="312">
        <v>3100000</v>
      </c>
      <c r="W266" s="313">
        <v>33300000</v>
      </c>
      <c r="X266" s="353">
        <f t="shared" si="176"/>
        <v>-0.9069069069069069</v>
      </c>
      <c r="Y266" s="375">
        <v>1082966673</v>
      </c>
      <c r="Z266" s="376" t="s">
        <v>453</v>
      </c>
      <c r="AA266" s="356">
        <f t="shared" si="177"/>
        <v>3100000</v>
      </c>
      <c r="AB266" s="270" t="s">
        <v>243</v>
      </c>
      <c r="AC266" s="393" t="s">
        <v>1</v>
      </c>
      <c r="AD266" s="358" t="s">
        <v>361</v>
      </c>
      <c r="AE266" s="358" t="s">
        <v>244</v>
      </c>
      <c r="AF266" s="359" t="str">
        <f t="shared" si="158"/>
        <v>CON-264</v>
      </c>
      <c r="AG266" s="270">
        <v>80111600</v>
      </c>
      <c r="AH266" s="249" t="s">
        <v>732</v>
      </c>
      <c r="AI266" s="301">
        <f t="shared" si="169"/>
        <v>45627</v>
      </c>
      <c r="AJ266" s="301">
        <f t="shared" si="178"/>
        <v>45627</v>
      </c>
      <c r="AK266" s="302">
        <f t="shared" si="170"/>
        <v>1</v>
      </c>
      <c r="AL266" s="303" t="s">
        <v>241</v>
      </c>
      <c r="AM266" s="304" t="s">
        <v>242</v>
      </c>
      <c r="AN266" s="256">
        <f t="shared" si="179"/>
        <v>3100000</v>
      </c>
      <c r="AO266" s="256">
        <f t="shared" si="180"/>
        <v>3100000</v>
      </c>
      <c r="AP266" s="303" t="s">
        <v>244</v>
      </c>
      <c r="AQ266" s="303" t="s">
        <v>245</v>
      </c>
      <c r="AR266" s="360" t="s">
        <v>246</v>
      </c>
      <c r="AS266" s="306" t="s">
        <v>247</v>
      </c>
      <c r="AT266" s="307" t="str">
        <f t="shared" si="171"/>
        <v>INSTITUTO PEDAGÓGICO NACIONAL</v>
      </c>
      <c r="AU266" s="308" t="s">
        <v>248</v>
      </c>
      <c r="AV266" s="361" t="s">
        <v>249</v>
      </c>
      <c r="AW266" s="303" t="s">
        <v>244</v>
      </c>
      <c r="AX266" s="303" t="s">
        <v>244</v>
      </c>
      <c r="AY266" s="362" t="s">
        <v>250</v>
      </c>
      <c r="AZ266" s="363" t="s">
        <v>251</v>
      </c>
      <c r="BA266" s="363" t="s">
        <v>252</v>
      </c>
      <c r="BB266" s="363" t="s">
        <v>250</v>
      </c>
      <c r="BC266" s="363"/>
      <c r="BD266" s="363"/>
    </row>
    <row r="267" spans="1:56" ht="63.75" customHeight="1" x14ac:dyDescent="0.2">
      <c r="A267" s="257">
        <v>265</v>
      </c>
      <c r="B267" s="299" t="s">
        <v>63</v>
      </c>
      <c r="C267" s="299" t="s">
        <v>13</v>
      </c>
      <c r="D267" s="299" t="s">
        <v>20</v>
      </c>
      <c r="E267" s="299"/>
      <c r="F267" s="299"/>
      <c r="G267" s="299"/>
      <c r="H267" s="299" t="s">
        <v>473</v>
      </c>
      <c r="I267" s="299"/>
      <c r="J267" s="251">
        <v>3000000</v>
      </c>
      <c r="K267" s="300">
        <f t="shared" ref="K267:K268" si="181">IF(J267="",1,((L267/J267)-1))</f>
        <v>4.9015827619047627</v>
      </c>
      <c r="L267" s="311">
        <f>Q267/U267</f>
        <v>17704748.285714287</v>
      </c>
      <c r="M267" s="299">
        <v>1</v>
      </c>
      <c r="N267" s="299" t="s">
        <v>486</v>
      </c>
      <c r="O267" s="250">
        <v>45439</v>
      </c>
      <c r="P267" s="316">
        <v>45639</v>
      </c>
      <c r="Q267" s="312">
        <v>123933238</v>
      </c>
      <c r="R267" s="250"/>
      <c r="S267" s="250"/>
      <c r="T267" s="312">
        <f t="shared" ref="T267:T268" si="182">IF($N267="MENSUAL",ROUND((((S267-R267))/30),0)*$L267,((S267-R267)/30)*$L267)</f>
        <v>0</v>
      </c>
      <c r="U267" s="318">
        <f>ROUND((((P267-O267)+(S267-R267))/30),0)</f>
        <v>7</v>
      </c>
      <c r="V267" s="312">
        <v>123933238</v>
      </c>
      <c r="W267" s="313">
        <v>33300000</v>
      </c>
      <c r="X267" s="353">
        <f t="shared" ref="X267:X268" si="183">IF(W267="",1,((V267/W267)-1))</f>
        <v>2.7217188588588588</v>
      </c>
      <c r="Y267" s="375">
        <v>1082966673</v>
      </c>
      <c r="Z267" s="376" t="s">
        <v>453</v>
      </c>
      <c r="AA267" s="305">
        <v>123933238</v>
      </c>
      <c r="AB267" s="270" t="s">
        <v>599</v>
      </c>
      <c r="AC267" s="393" t="s">
        <v>15</v>
      </c>
      <c r="AD267" s="358" t="s">
        <v>244</v>
      </c>
      <c r="AE267" s="358" t="s">
        <v>244</v>
      </c>
      <c r="AF267" s="359" t="str">
        <f t="shared" ref="AF267:AF268" si="184">"CON-"&amp;A267</f>
        <v>CON-265</v>
      </c>
      <c r="AG267" s="270">
        <v>80111600</v>
      </c>
      <c r="AH267" s="249" t="s">
        <v>678</v>
      </c>
      <c r="AI267" s="301" t="s">
        <v>390</v>
      </c>
      <c r="AJ267" s="301" t="str">
        <f t="shared" ref="AJ267:AJ268" si="185">+AI267</f>
        <v>mayo</v>
      </c>
      <c r="AK267" s="302">
        <f t="shared" ref="AK267:AK268" si="186">+U267</f>
        <v>7</v>
      </c>
      <c r="AL267" s="303" t="s">
        <v>241</v>
      </c>
      <c r="AM267" s="304" t="s">
        <v>242</v>
      </c>
      <c r="AN267" s="305">
        <v>123933238</v>
      </c>
      <c r="AO267" s="256">
        <f t="shared" ref="AO267:AO268" si="187">+AN267</f>
        <v>123933238</v>
      </c>
      <c r="AP267" s="303" t="s">
        <v>244</v>
      </c>
      <c r="AQ267" s="303" t="s">
        <v>245</v>
      </c>
      <c r="AR267" s="360" t="s">
        <v>246</v>
      </c>
      <c r="AS267" s="306" t="s">
        <v>247</v>
      </c>
      <c r="AT267" s="307" t="str">
        <f t="shared" ref="AT267:AT268" si="188">D267</f>
        <v>COMITÉ DE ASIGNACION Y RECONOCIMIENTO DE  PUNTAJE - CIARP</v>
      </c>
      <c r="AU267" s="308" t="s">
        <v>248</v>
      </c>
      <c r="AV267" s="361" t="s">
        <v>249</v>
      </c>
      <c r="AW267" s="303" t="s">
        <v>244</v>
      </c>
      <c r="AX267" s="303" t="s">
        <v>244</v>
      </c>
      <c r="AY267" s="362" t="s">
        <v>250</v>
      </c>
      <c r="AZ267" s="363" t="s">
        <v>251</v>
      </c>
      <c r="BA267" s="363" t="s">
        <v>252</v>
      </c>
      <c r="BB267" s="363" t="s">
        <v>250</v>
      </c>
      <c r="BC267" s="363"/>
      <c r="BD267" s="363"/>
    </row>
    <row r="268" spans="1:56" ht="84" customHeight="1" x14ac:dyDescent="0.2">
      <c r="A268" s="298">
        <v>266</v>
      </c>
      <c r="B268" s="299" t="s">
        <v>763</v>
      </c>
      <c r="C268" s="299" t="s">
        <v>25</v>
      </c>
      <c r="D268" s="299" t="s">
        <v>733</v>
      </c>
      <c r="E268" s="299"/>
      <c r="F268" s="350" t="s">
        <v>480</v>
      </c>
      <c r="G268" s="350" t="s">
        <v>374</v>
      </c>
      <c r="H268" s="299" t="s">
        <v>67</v>
      </c>
      <c r="I268" s="299">
        <v>6</v>
      </c>
      <c r="J268" s="251">
        <v>2200000</v>
      </c>
      <c r="K268" s="300">
        <f t="shared" si="181"/>
        <v>2</v>
      </c>
      <c r="L268" s="311">
        <v>6600000</v>
      </c>
      <c r="M268" s="299">
        <v>1</v>
      </c>
      <c r="N268" s="299" t="s">
        <v>485</v>
      </c>
      <c r="O268" s="250">
        <v>45463</v>
      </c>
      <c r="P268" s="316">
        <v>45555</v>
      </c>
      <c r="Q268" s="312">
        <v>19800000</v>
      </c>
      <c r="R268" s="357"/>
      <c r="S268" s="357"/>
      <c r="T268" s="312">
        <f t="shared" si="182"/>
        <v>0</v>
      </c>
      <c r="U268" s="318">
        <f t="shared" ref="U268" si="189">ROUND((((P268-O268)+(S268-R268))/30),0)</f>
        <v>3</v>
      </c>
      <c r="V268" s="312">
        <f t="shared" ref="V268" si="190">+Q268+T268</f>
        <v>19800000</v>
      </c>
      <c r="W268" s="313">
        <v>22733333.333333336</v>
      </c>
      <c r="X268" s="353">
        <f t="shared" si="183"/>
        <v>-0.12903225806451624</v>
      </c>
      <c r="Y268" s="375">
        <v>21018921</v>
      </c>
      <c r="Z268" s="376" t="s">
        <v>457</v>
      </c>
      <c r="AA268" s="356">
        <f t="shared" ref="AA268" si="191">+V268</f>
        <v>19800000</v>
      </c>
      <c r="AB268" s="270" t="s">
        <v>243</v>
      </c>
      <c r="AC268" s="393" t="s">
        <v>1</v>
      </c>
      <c r="AD268" s="358" t="s">
        <v>361</v>
      </c>
      <c r="AE268" s="358" t="s">
        <v>244</v>
      </c>
      <c r="AF268" s="359" t="str">
        <f t="shared" si="184"/>
        <v>CON-266</v>
      </c>
      <c r="AG268" s="270">
        <v>80111600</v>
      </c>
      <c r="AH268" s="249" t="s">
        <v>735</v>
      </c>
      <c r="AI268" s="301" t="s">
        <v>734</v>
      </c>
      <c r="AJ268" s="301" t="str">
        <f t="shared" si="185"/>
        <v>junio</v>
      </c>
      <c r="AK268" s="302">
        <f t="shared" si="186"/>
        <v>3</v>
      </c>
      <c r="AL268" s="303" t="s">
        <v>241</v>
      </c>
      <c r="AM268" s="304" t="s">
        <v>242</v>
      </c>
      <c r="AN268" s="305">
        <v>19800000</v>
      </c>
      <c r="AO268" s="305">
        <f t="shared" si="187"/>
        <v>19800000</v>
      </c>
      <c r="AP268" s="303" t="s">
        <v>244</v>
      </c>
      <c r="AQ268" s="303" t="s">
        <v>245</v>
      </c>
      <c r="AR268" s="360" t="s">
        <v>246</v>
      </c>
      <c r="AS268" s="306" t="s">
        <v>247</v>
      </c>
      <c r="AT268" s="307" t="str">
        <f t="shared" si="188"/>
        <v>GRUPO INTERNO DE TRABAJO DE GESTIÓN DOCUMENTAL</v>
      </c>
      <c r="AU268" s="308" t="s">
        <v>248</v>
      </c>
      <c r="AV268" s="361" t="s">
        <v>249</v>
      </c>
      <c r="AW268" s="303" t="s">
        <v>244</v>
      </c>
      <c r="AX268" s="303" t="s">
        <v>244</v>
      </c>
      <c r="AY268" s="362" t="s">
        <v>250</v>
      </c>
      <c r="AZ268" s="363" t="s">
        <v>251</v>
      </c>
      <c r="BA268" s="363" t="s">
        <v>252</v>
      </c>
      <c r="BB268" s="363" t="s">
        <v>250</v>
      </c>
      <c r="BC268" s="363"/>
      <c r="BD268" s="363"/>
    </row>
    <row r="269" spans="1:56" ht="84" customHeight="1" x14ac:dyDescent="0.2">
      <c r="A269" s="298">
        <v>267</v>
      </c>
      <c r="B269" s="299" t="s">
        <v>763</v>
      </c>
      <c r="C269" s="299" t="s">
        <v>25</v>
      </c>
      <c r="D269" s="299" t="s">
        <v>733</v>
      </c>
      <c r="E269" s="299"/>
      <c r="F269" s="350" t="s">
        <v>480</v>
      </c>
      <c r="G269" s="350" t="s">
        <v>374</v>
      </c>
      <c r="H269" s="299" t="s">
        <v>67</v>
      </c>
      <c r="I269" s="299">
        <v>6</v>
      </c>
      <c r="J269" s="251">
        <v>2200000</v>
      </c>
      <c r="K269" s="300">
        <f t="shared" ref="K269" si="192">IF(J269="",1,((L269/J269)-1))</f>
        <v>2</v>
      </c>
      <c r="L269" s="311">
        <v>6600000</v>
      </c>
      <c r="M269" s="299">
        <v>1</v>
      </c>
      <c r="N269" s="299" t="s">
        <v>485</v>
      </c>
      <c r="O269" s="250">
        <v>45463</v>
      </c>
      <c r="P269" s="316">
        <v>45555</v>
      </c>
      <c r="Q269" s="312">
        <v>19800000</v>
      </c>
      <c r="R269" s="357"/>
      <c r="S269" s="357"/>
      <c r="T269" s="312">
        <f t="shared" ref="T269" si="193">IF($N269="MENSUAL",ROUND((((S269-R269))/30),0)*$L269,((S269-R269)/30)*$L269)</f>
        <v>0</v>
      </c>
      <c r="U269" s="318">
        <f t="shared" ref="U269" si="194">ROUND((((P269-O269)+(S269-R269))/30),0)</f>
        <v>3</v>
      </c>
      <c r="V269" s="312">
        <f t="shared" ref="V269" si="195">+Q269+T269</f>
        <v>19800000</v>
      </c>
      <c r="W269" s="313">
        <v>22733333.333333336</v>
      </c>
      <c r="X269" s="353">
        <f t="shared" ref="X269" si="196">IF(W269="",1,((V269/W269)-1))</f>
        <v>-0.12903225806451624</v>
      </c>
      <c r="Y269" s="375">
        <v>21018921</v>
      </c>
      <c r="Z269" s="376" t="s">
        <v>457</v>
      </c>
      <c r="AA269" s="356">
        <f t="shared" ref="AA269" si="197">+V269</f>
        <v>19800000</v>
      </c>
      <c r="AB269" s="270" t="s">
        <v>243</v>
      </c>
      <c r="AC269" s="393" t="s">
        <v>1</v>
      </c>
      <c r="AD269" s="358" t="s">
        <v>361</v>
      </c>
      <c r="AE269" s="358" t="s">
        <v>244</v>
      </c>
      <c r="AF269" s="359" t="str">
        <f t="shared" ref="AF269" si="198">"CON-"&amp;A269</f>
        <v>CON-267</v>
      </c>
      <c r="AG269" s="270">
        <v>80111600</v>
      </c>
      <c r="AH269" s="249" t="s">
        <v>735</v>
      </c>
      <c r="AI269" s="301" t="s">
        <v>734</v>
      </c>
      <c r="AJ269" s="301" t="str">
        <f t="shared" ref="AJ269" si="199">+AI269</f>
        <v>junio</v>
      </c>
      <c r="AK269" s="302">
        <f t="shared" ref="AK269" si="200">+U269</f>
        <v>3</v>
      </c>
      <c r="AL269" s="303" t="s">
        <v>241</v>
      </c>
      <c r="AM269" s="304" t="s">
        <v>242</v>
      </c>
      <c r="AN269" s="305">
        <v>19800000</v>
      </c>
      <c r="AO269" s="305">
        <f t="shared" ref="AO269" si="201">+AN269</f>
        <v>19800000</v>
      </c>
      <c r="AP269" s="303" t="s">
        <v>244</v>
      </c>
      <c r="AQ269" s="303" t="s">
        <v>245</v>
      </c>
      <c r="AR269" s="360" t="s">
        <v>246</v>
      </c>
      <c r="AS269" s="306" t="s">
        <v>247</v>
      </c>
      <c r="AT269" s="307" t="str">
        <f t="shared" ref="AT269" si="202">D269</f>
        <v>GRUPO INTERNO DE TRABAJO DE GESTIÓN DOCUMENTAL</v>
      </c>
      <c r="AU269" s="308" t="s">
        <v>248</v>
      </c>
      <c r="AV269" s="361" t="s">
        <v>249</v>
      </c>
      <c r="AW269" s="303" t="s">
        <v>244</v>
      </c>
      <c r="AX269" s="303" t="s">
        <v>244</v>
      </c>
      <c r="AY269" s="362" t="s">
        <v>250</v>
      </c>
      <c r="AZ269" s="363" t="s">
        <v>251</v>
      </c>
      <c r="BA269" s="363" t="s">
        <v>252</v>
      </c>
      <c r="BB269" s="363" t="s">
        <v>250</v>
      </c>
      <c r="BC269" s="363"/>
      <c r="BD269" s="363"/>
    </row>
    <row r="270" spans="1:56" customFormat="1" ht="84" x14ac:dyDescent="0.25">
      <c r="A270" s="298">
        <v>268</v>
      </c>
      <c r="B270" s="299" t="s">
        <v>90</v>
      </c>
      <c r="C270" s="299" t="s">
        <v>78</v>
      </c>
      <c r="D270" s="299" t="s">
        <v>375</v>
      </c>
      <c r="E270" s="299"/>
      <c r="F270" s="350" t="s">
        <v>383</v>
      </c>
      <c r="G270" s="350" t="s">
        <v>374</v>
      </c>
      <c r="H270" s="45" t="s">
        <v>70</v>
      </c>
      <c r="I270" s="299"/>
      <c r="J270" s="314">
        <v>1967592.5925925926</v>
      </c>
      <c r="K270" s="300">
        <v>5.0000000000000044E-2</v>
      </c>
      <c r="L270" s="416">
        <v>1247708</v>
      </c>
      <c r="M270" s="299">
        <v>1</v>
      </c>
      <c r="N270" s="299" t="s">
        <v>686</v>
      </c>
      <c r="O270" s="250">
        <v>45521</v>
      </c>
      <c r="P270" s="316">
        <v>45626</v>
      </c>
      <c r="Q270" s="417">
        <v>4990832</v>
      </c>
      <c r="R270" s="317"/>
      <c r="S270" s="317"/>
      <c r="T270" s="417">
        <v>0</v>
      </c>
      <c r="U270" s="418">
        <v>4</v>
      </c>
      <c r="V270" s="312">
        <v>4990832</v>
      </c>
      <c r="W270" s="419">
        <v>1750000000</v>
      </c>
      <c r="X270" s="353">
        <v>-0.43899999999999995</v>
      </c>
      <c r="Y270" s="376"/>
      <c r="Z270" s="376" t="s">
        <v>376</v>
      </c>
      <c r="AA270" s="419">
        <v>981750000</v>
      </c>
      <c r="AB270" s="270" t="s">
        <v>243</v>
      </c>
      <c r="AC270" s="393" t="s">
        <v>373</v>
      </c>
      <c r="AD270" s="393" t="s">
        <v>361</v>
      </c>
      <c r="AE270" s="358" t="s">
        <v>244</v>
      </c>
      <c r="AF270" s="420" t="s">
        <v>775</v>
      </c>
      <c r="AG270" s="270">
        <v>80111600</v>
      </c>
      <c r="AH270" s="249" t="s">
        <v>768</v>
      </c>
      <c r="AI270" s="301" t="s">
        <v>769</v>
      </c>
      <c r="AJ270" s="301" t="s">
        <v>769</v>
      </c>
      <c r="AK270" s="302">
        <v>4</v>
      </c>
      <c r="AL270" s="303" t="s">
        <v>241</v>
      </c>
      <c r="AM270" s="304" t="s">
        <v>242</v>
      </c>
      <c r="AN270" s="421">
        <v>4990832</v>
      </c>
      <c r="AO270" s="421">
        <v>4990832</v>
      </c>
      <c r="AP270" s="303" t="s">
        <v>244</v>
      </c>
      <c r="AQ270" s="303" t="s">
        <v>245</v>
      </c>
      <c r="AR270" s="360" t="s">
        <v>246</v>
      </c>
      <c r="AS270" s="306" t="s">
        <v>247</v>
      </c>
      <c r="AT270" s="307" t="s">
        <v>372</v>
      </c>
      <c r="AU270" s="308" t="s">
        <v>248</v>
      </c>
      <c r="AV270" s="361" t="s">
        <v>249</v>
      </c>
      <c r="AW270" s="303" t="s">
        <v>244</v>
      </c>
      <c r="AX270" s="303" t="s">
        <v>361</v>
      </c>
      <c r="AY270" s="394" t="s">
        <v>250</v>
      </c>
      <c r="AZ270" s="394" t="s">
        <v>251</v>
      </c>
      <c r="BA270" s="394" t="s">
        <v>252</v>
      </c>
      <c r="BB270" s="394" t="s">
        <v>250</v>
      </c>
      <c r="BC270" s="394"/>
      <c r="BD270" s="394"/>
    </row>
    <row r="271" spans="1:56" customFormat="1" ht="48" customHeight="1" x14ac:dyDescent="0.25">
      <c r="A271" s="298">
        <v>269</v>
      </c>
      <c r="B271" s="299" t="s">
        <v>90</v>
      </c>
      <c r="C271" s="299" t="s">
        <v>78</v>
      </c>
      <c r="D271" s="299" t="s">
        <v>375</v>
      </c>
      <c r="E271" s="299"/>
      <c r="F271" s="350" t="s">
        <v>383</v>
      </c>
      <c r="G271" s="350" t="s">
        <v>374</v>
      </c>
      <c r="H271" s="45" t="s">
        <v>69</v>
      </c>
      <c r="I271" s="299"/>
      <c r="J271" s="251">
        <v>1967592.5925925926</v>
      </c>
      <c r="K271" s="300">
        <v>5.0000000000000044E-2</v>
      </c>
      <c r="L271" s="311">
        <f t="shared" ref="L271:L318" si="203">Q271/U271</f>
        <v>1071552</v>
      </c>
      <c r="M271" s="299">
        <v>1</v>
      </c>
      <c r="N271" s="299" t="s">
        <v>686</v>
      </c>
      <c r="O271" s="250">
        <v>45500</v>
      </c>
      <c r="P271" s="316">
        <v>45626</v>
      </c>
      <c r="Q271" s="312">
        <v>4286208</v>
      </c>
      <c r="R271" s="317"/>
      <c r="S271" s="317"/>
      <c r="T271" s="312">
        <v>0</v>
      </c>
      <c r="U271" s="318">
        <v>4</v>
      </c>
      <c r="V271" s="312">
        <v>4283208</v>
      </c>
      <c r="W271" s="356">
        <v>1750000000</v>
      </c>
      <c r="X271" s="353">
        <v>-0.43899999999999995</v>
      </c>
      <c r="Y271" s="376"/>
      <c r="Z271" s="376" t="s">
        <v>376</v>
      </c>
      <c r="AA271" s="356">
        <v>981750000</v>
      </c>
      <c r="AB271" s="270" t="s">
        <v>243</v>
      </c>
      <c r="AC271" s="393" t="s">
        <v>373</v>
      </c>
      <c r="AD271" s="393" t="s">
        <v>361</v>
      </c>
      <c r="AE271" s="358" t="s">
        <v>244</v>
      </c>
      <c r="AF271" s="359" t="str">
        <f t="shared" ref="AF271:AF318" si="204">"CLE-"&amp;A271</f>
        <v>CLE-269</v>
      </c>
      <c r="AG271" s="270">
        <v>80111600</v>
      </c>
      <c r="AH271" s="310" t="s">
        <v>737</v>
      </c>
      <c r="AI271" s="301" t="s">
        <v>393</v>
      </c>
      <c r="AJ271" s="301" t="s">
        <v>393</v>
      </c>
      <c r="AK271" s="302">
        <v>4</v>
      </c>
      <c r="AL271" s="303" t="s">
        <v>241</v>
      </c>
      <c r="AM271" s="304" t="s">
        <v>242</v>
      </c>
      <c r="AN271" s="305">
        <v>4283208</v>
      </c>
      <c r="AO271" s="305">
        <v>4283208</v>
      </c>
      <c r="AP271" s="303" t="s">
        <v>244</v>
      </c>
      <c r="AQ271" s="303" t="s">
        <v>245</v>
      </c>
      <c r="AR271" s="360" t="s">
        <v>246</v>
      </c>
      <c r="AS271" s="306" t="s">
        <v>247</v>
      </c>
      <c r="AT271" s="307" t="s">
        <v>372</v>
      </c>
      <c r="AU271" s="308" t="s">
        <v>248</v>
      </c>
      <c r="AV271" s="361" t="s">
        <v>249</v>
      </c>
      <c r="AW271" s="303" t="s">
        <v>244</v>
      </c>
      <c r="AX271" s="303" t="s">
        <v>361</v>
      </c>
      <c r="AY271" s="394" t="s">
        <v>250</v>
      </c>
      <c r="AZ271" s="394" t="s">
        <v>251</v>
      </c>
      <c r="BA271" s="394" t="s">
        <v>252</v>
      </c>
      <c r="BB271" s="394" t="s">
        <v>250</v>
      </c>
      <c r="BC271" s="394"/>
      <c r="BD271" s="394"/>
    </row>
    <row r="272" spans="1:56" customFormat="1" ht="48" x14ac:dyDescent="0.25">
      <c r="A272" s="298">
        <v>270</v>
      </c>
      <c r="B272" s="299" t="s">
        <v>90</v>
      </c>
      <c r="C272" s="299" t="s">
        <v>78</v>
      </c>
      <c r="D272" s="299" t="s">
        <v>375</v>
      </c>
      <c r="E272" s="299"/>
      <c r="F272" s="350" t="s">
        <v>383</v>
      </c>
      <c r="G272" s="350" t="s">
        <v>374</v>
      </c>
      <c r="H272" s="45" t="s">
        <v>69</v>
      </c>
      <c r="I272" s="299"/>
      <c r="J272" s="251">
        <v>1967592.5925925926</v>
      </c>
      <c r="K272" s="300">
        <v>5.0000000000000044E-2</v>
      </c>
      <c r="L272" s="311">
        <f t="shared" si="203"/>
        <v>1071552</v>
      </c>
      <c r="M272" s="299">
        <v>1</v>
      </c>
      <c r="N272" s="299" t="s">
        <v>686</v>
      </c>
      <c r="O272" s="250">
        <v>45500</v>
      </c>
      <c r="P272" s="316">
        <v>45626</v>
      </c>
      <c r="Q272" s="312">
        <v>4286208</v>
      </c>
      <c r="R272" s="317"/>
      <c r="S272" s="317"/>
      <c r="T272" s="312">
        <v>0</v>
      </c>
      <c r="U272" s="318">
        <v>4</v>
      </c>
      <c r="V272" s="312">
        <v>4283208</v>
      </c>
      <c r="W272" s="356">
        <v>1750000000</v>
      </c>
      <c r="X272" s="353">
        <v>-0.43899999999999995</v>
      </c>
      <c r="Y272" s="376"/>
      <c r="Z272" s="376" t="s">
        <v>376</v>
      </c>
      <c r="AA272" s="356">
        <v>981750000</v>
      </c>
      <c r="AB272" s="270" t="s">
        <v>243</v>
      </c>
      <c r="AC272" s="393" t="s">
        <v>373</v>
      </c>
      <c r="AD272" s="393" t="s">
        <v>361</v>
      </c>
      <c r="AE272" s="358" t="s">
        <v>244</v>
      </c>
      <c r="AF272" s="359" t="str">
        <f t="shared" si="204"/>
        <v>CLE-270</v>
      </c>
      <c r="AG272" s="270">
        <v>80111600</v>
      </c>
      <c r="AH272" s="310" t="s">
        <v>737</v>
      </c>
      <c r="AI272" s="301" t="s">
        <v>393</v>
      </c>
      <c r="AJ272" s="301" t="s">
        <v>393</v>
      </c>
      <c r="AK272" s="302">
        <v>4</v>
      </c>
      <c r="AL272" s="303" t="s">
        <v>241</v>
      </c>
      <c r="AM272" s="304" t="s">
        <v>242</v>
      </c>
      <c r="AN272" s="305">
        <v>4283208</v>
      </c>
      <c r="AO272" s="305">
        <v>4283208</v>
      </c>
      <c r="AP272" s="303" t="s">
        <v>244</v>
      </c>
      <c r="AQ272" s="303" t="s">
        <v>245</v>
      </c>
      <c r="AR272" s="360" t="s">
        <v>246</v>
      </c>
      <c r="AS272" s="306" t="s">
        <v>247</v>
      </c>
      <c r="AT272" s="307" t="s">
        <v>372</v>
      </c>
      <c r="AU272" s="308" t="s">
        <v>248</v>
      </c>
      <c r="AV272" s="361" t="s">
        <v>249</v>
      </c>
      <c r="AW272" s="303" t="s">
        <v>244</v>
      </c>
      <c r="AX272" s="303" t="s">
        <v>361</v>
      </c>
      <c r="AY272" s="394" t="s">
        <v>250</v>
      </c>
      <c r="AZ272" s="394" t="s">
        <v>251</v>
      </c>
      <c r="BA272" s="394" t="s">
        <v>252</v>
      </c>
      <c r="BB272" s="394" t="s">
        <v>250</v>
      </c>
      <c r="BC272" s="394"/>
      <c r="BD272" s="394"/>
    </row>
    <row r="273" spans="1:56" customFormat="1" ht="48" x14ac:dyDescent="0.25">
      <c r="A273" s="298">
        <v>271</v>
      </c>
      <c r="B273" s="299" t="s">
        <v>90</v>
      </c>
      <c r="C273" s="299" t="s">
        <v>78</v>
      </c>
      <c r="D273" s="299" t="s">
        <v>375</v>
      </c>
      <c r="E273" s="299"/>
      <c r="F273" s="350" t="s">
        <v>383</v>
      </c>
      <c r="G273" s="350" t="s">
        <v>374</v>
      </c>
      <c r="H273" s="45" t="s">
        <v>69</v>
      </c>
      <c r="I273" s="299"/>
      <c r="J273" s="251">
        <v>1967592.5925925926</v>
      </c>
      <c r="K273" s="300">
        <v>5.0000000000000044E-2</v>
      </c>
      <c r="L273" s="311">
        <f t="shared" si="203"/>
        <v>1071552</v>
      </c>
      <c r="M273" s="299">
        <v>1</v>
      </c>
      <c r="N273" s="299" t="s">
        <v>686</v>
      </c>
      <c r="O273" s="250">
        <v>45500</v>
      </c>
      <c r="P273" s="316">
        <v>45626</v>
      </c>
      <c r="Q273" s="312">
        <v>4286208</v>
      </c>
      <c r="R273" s="317"/>
      <c r="S273" s="317"/>
      <c r="T273" s="312">
        <v>0</v>
      </c>
      <c r="U273" s="318">
        <v>4</v>
      </c>
      <c r="V273" s="312">
        <v>4283208</v>
      </c>
      <c r="W273" s="356">
        <v>1750000000</v>
      </c>
      <c r="X273" s="353">
        <v>-0.43899999999999995</v>
      </c>
      <c r="Y273" s="376"/>
      <c r="Z273" s="376" t="s">
        <v>376</v>
      </c>
      <c r="AA273" s="356">
        <v>981750000</v>
      </c>
      <c r="AB273" s="270" t="s">
        <v>243</v>
      </c>
      <c r="AC273" s="393" t="s">
        <v>373</v>
      </c>
      <c r="AD273" s="393" t="s">
        <v>361</v>
      </c>
      <c r="AE273" s="358" t="s">
        <v>244</v>
      </c>
      <c r="AF273" s="359" t="str">
        <f t="shared" si="204"/>
        <v>CLE-271</v>
      </c>
      <c r="AG273" s="270">
        <v>80111600</v>
      </c>
      <c r="AH273" s="310" t="s">
        <v>737</v>
      </c>
      <c r="AI273" s="301" t="s">
        <v>393</v>
      </c>
      <c r="AJ273" s="301" t="s">
        <v>393</v>
      </c>
      <c r="AK273" s="302">
        <v>4</v>
      </c>
      <c r="AL273" s="303" t="s">
        <v>241</v>
      </c>
      <c r="AM273" s="304" t="s">
        <v>242</v>
      </c>
      <c r="AN273" s="305">
        <v>4283208</v>
      </c>
      <c r="AO273" s="305">
        <v>4283208</v>
      </c>
      <c r="AP273" s="303" t="s">
        <v>244</v>
      </c>
      <c r="AQ273" s="303" t="s">
        <v>245</v>
      </c>
      <c r="AR273" s="360" t="s">
        <v>246</v>
      </c>
      <c r="AS273" s="306" t="s">
        <v>247</v>
      </c>
      <c r="AT273" s="307" t="s">
        <v>372</v>
      </c>
      <c r="AU273" s="308" t="s">
        <v>248</v>
      </c>
      <c r="AV273" s="361" t="s">
        <v>249</v>
      </c>
      <c r="AW273" s="303" t="s">
        <v>244</v>
      </c>
      <c r="AX273" s="303" t="s">
        <v>361</v>
      </c>
      <c r="AY273" s="394" t="s">
        <v>250</v>
      </c>
      <c r="AZ273" s="394" t="s">
        <v>251</v>
      </c>
      <c r="BA273" s="394" t="s">
        <v>252</v>
      </c>
      <c r="BB273" s="394" t="s">
        <v>250</v>
      </c>
      <c r="BC273" s="394"/>
      <c r="BD273" s="394"/>
    </row>
    <row r="274" spans="1:56" customFormat="1" ht="48" x14ac:dyDescent="0.25">
      <c r="A274" s="298">
        <v>272</v>
      </c>
      <c r="B274" s="299" t="s">
        <v>90</v>
      </c>
      <c r="C274" s="299" t="s">
        <v>78</v>
      </c>
      <c r="D274" s="299" t="s">
        <v>375</v>
      </c>
      <c r="E274" s="299"/>
      <c r="F274" s="350" t="s">
        <v>383</v>
      </c>
      <c r="G274" s="350" t="s">
        <v>374</v>
      </c>
      <c r="H274" s="45" t="s">
        <v>69</v>
      </c>
      <c r="I274" s="299"/>
      <c r="J274" s="251">
        <v>1967592.5925925926</v>
      </c>
      <c r="K274" s="300">
        <v>5.0000000000000044E-2</v>
      </c>
      <c r="L274" s="311">
        <f t="shared" si="203"/>
        <v>1071552</v>
      </c>
      <c r="M274" s="299">
        <v>1</v>
      </c>
      <c r="N274" s="299" t="s">
        <v>686</v>
      </c>
      <c r="O274" s="250">
        <v>45500</v>
      </c>
      <c r="P274" s="316">
        <v>45626</v>
      </c>
      <c r="Q274" s="312">
        <v>4286208</v>
      </c>
      <c r="R274" s="317"/>
      <c r="S274" s="317"/>
      <c r="T274" s="312">
        <v>0</v>
      </c>
      <c r="U274" s="318">
        <v>4</v>
      </c>
      <c r="V274" s="312">
        <v>4283208</v>
      </c>
      <c r="W274" s="356">
        <v>1750000000</v>
      </c>
      <c r="X274" s="353">
        <v>-0.43899999999999995</v>
      </c>
      <c r="Y274" s="376"/>
      <c r="Z274" s="376" t="s">
        <v>376</v>
      </c>
      <c r="AA274" s="356">
        <v>981750000</v>
      </c>
      <c r="AB274" s="270" t="s">
        <v>243</v>
      </c>
      <c r="AC274" s="393" t="s">
        <v>373</v>
      </c>
      <c r="AD274" s="393" t="s">
        <v>361</v>
      </c>
      <c r="AE274" s="358" t="s">
        <v>244</v>
      </c>
      <c r="AF274" s="359" t="str">
        <f t="shared" si="204"/>
        <v>CLE-272</v>
      </c>
      <c r="AG274" s="270">
        <v>80111600</v>
      </c>
      <c r="AH274" s="310" t="s">
        <v>737</v>
      </c>
      <c r="AI274" s="301" t="s">
        <v>393</v>
      </c>
      <c r="AJ274" s="301" t="s">
        <v>393</v>
      </c>
      <c r="AK274" s="302">
        <v>4</v>
      </c>
      <c r="AL274" s="303" t="s">
        <v>241</v>
      </c>
      <c r="AM274" s="304" t="s">
        <v>242</v>
      </c>
      <c r="AN274" s="305">
        <v>4283208</v>
      </c>
      <c r="AO274" s="305">
        <v>4283208</v>
      </c>
      <c r="AP274" s="303" t="s">
        <v>244</v>
      </c>
      <c r="AQ274" s="303" t="s">
        <v>245</v>
      </c>
      <c r="AR274" s="360" t="s">
        <v>246</v>
      </c>
      <c r="AS274" s="306" t="s">
        <v>247</v>
      </c>
      <c r="AT274" s="307" t="s">
        <v>372</v>
      </c>
      <c r="AU274" s="308" t="s">
        <v>248</v>
      </c>
      <c r="AV274" s="361" t="s">
        <v>249</v>
      </c>
      <c r="AW274" s="303" t="s">
        <v>244</v>
      </c>
      <c r="AX274" s="303" t="s">
        <v>361</v>
      </c>
      <c r="AY274" s="394" t="s">
        <v>250</v>
      </c>
      <c r="AZ274" s="394" t="s">
        <v>251</v>
      </c>
      <c r="BA274" s="394" t="s">
        <v>252</v>
      </c>
      <c r="BB274" s="394" t="s">
        <v>250</v>
      </c>
      <c r="BC274" s="394"/>
      <c r="BD274" s="394"/>
    </row>
    <row r="275" spans="1:56" customFormat="1" ht="48" x14ac:dyDescent="0.25">
      <c r="A275" s="298">
        <v>273</v>
      </c>
      <c r="B275" s="299" t="s">
        <v>90</v>
      </c>
      <c r="C275" s="299" t="s">
        <v>78</v>
      </c>
      <c r="D275" s="299" t="s">
        <v>375</v>
      </c>
      <c r="E275" s="299"/>
      <c r="F275" s="350" t="s">
        <v>383</v>
      </c>
      <c r="G275" s="350" t="s">
        <v>374</v>
      </c>
      <c r="H275" s="45" t="s">
        <v>69</v>
      </c>
      <c r="I275" s="299"/>
      <c r="J275" s="251">
        <v>1967592.5925925926</v>
      </c>
      <c r="K275" s="300">
        <v>5.0000000000000044E-2</v>
      </c>
      <c r="L275" s="311">
        <f t="shared" si="203"/>
        <v>1071552</v>
      </c>
      <c r="M275" s="299">
        <v>1</v>
      </c>
      <c r="N275" s="299" t="s">
        <v>686</v>
      </c>
      <c r="O275" s="250">
        <v>45500</v>
      </c>
      <c r="P275" s="316">
        <v>45626</v>
      </c>
      <c r="Q275" s="312">
        <v>4286208</v>
      </c>
      <c r="R275" s="317"/>
      <c r="S275" s="317"/>
      <c r="T275" s="312">
        <v>0</v>
      </c>
      <c r="U275" s="318">
        <v>4</v>
      </c>
      <c r="V275" s="312">
        <v>4283208</v>
      </c>
      <c r="W275" s="356">
        <v>1750000000</v>
      </c>
      <c r="X275" s="353">
        <v>-0.43899999999999995</v>
      </c>
      <c r="Y275" s="376"/>
      <c r="Z275" s="376" t="s">
        <v>376</v>
      </c>
      <c r="AA275" s="356">
        <v>981750000</v>
      </c>
      <c r="AB275" s="270" t="s">
        <v>243</v>
      </c>
      <c r="AC275" s="393" t="s">
        <v>373</v>
      </c>
      <c r="AD275" s="393" t="s">
        <v>361</v>
      </c>
      <c r="AE275" s="358" t="s">
        <v>244</v>
      </c>
      <c r="AF275" s="359" t="str">
        <f t="shared" si="204"/>
        <v>CLE-273</v>
      </c>
      <c r="AG275" s="270">
        <v>80111600</v>
      </c>
      <c r="AH275" s="310" t="s">
        <v>737</v>
      </c>
      <c r="AI275" s="301" t="s">
        <v>393</v>
      </c>
      <c r="AJ275" s="301" t="s">
        <v>393</v>
      </c>
      <c r="AK275" s="302">
        <v>4</v>
      </c>
      <c r="AL275" s="303" t="s">
        <v>241</v>
      </c>
      <c r="AM275" s="304" t="s">
        <v>242</v>
      </c>
      <c r="AN275" s="305">
        <v>4283208</v>
      </c>
      <c r="AO275" s="305">
        <v>4283208</v>
      </c>
      <c r="AP275" s="303" t="s">
        <v>244</v>
      </c>
      <c r="AQ275" s="303" t="s">
        <v>245</v>
      </c>
      <c r="AR275" s="360" t="s">
        <v>246</v>
      </c>
      <c r="AS275" s="306" t="s">
        <v>247</v>
      </c>
      <c r="AT275" s="307" t="s">
        <v>372</v>
      </c>
      <c r="AU275" s="308" t="s">
        <v>248</v>
      </c>
      <c r="AV275" s="361" t="s">
        <v>249</v>
      </c>
      <c r="AW275" s="303" t="s">
        <v>244</v>
      </c>
      <c r="AX275" s="303" t="s">
        <v>361</v>
      </c>
      <c r="AY275" s="394" t="s">
        <v>250</v>
      </c>
      <c r="AZ275" s="394" t="s">
        <v>251</v>
      </c>
      <c r="BA275" s="394" t="s">
        <v>252</v>
      </c>
      <c r="BB275" s="394" t="s">
        <v>250</v>
      </c>
      <c r="BC275" s="394"/>
      <c r="BD275" s="394"/>
    </row>
    <row r="276" spans="1:56" customFormat="1" ht="48" x14ac:dyDescent="0.25">
      <c r="A276" s="298">
        <v>274</v>
      </c>
      <c r="B276" s="299" t="s">
        <v>90</v>
      </c>
      <c r="C276" s="299" t="s">
        <v>78</v>
      </c>
      <c r="D276" s="299" t="s">
        <v>375</v>
      </c>
      <c r="E276" s="299"/>
      <c r="F276" s="350" t="s">
        <v>383</v>
      </c>
      <c r="G276" s="350" t="s">
        <v>374</v>
      </c>
      <c r="H276" s="45" t="s">
        <v>69</v>
      </c>
      <c r="I276" s="299"/>
      <c r="J276" s="251">
        <v>1967592.5925925926</v>
      </c>
      <c r="K276" s="300">
        <v>5.0000000000000044E-2</v>
      </c>
      <c r="L276" s="311">
        <f t="shared" si="203"/>
        <v>1071552</v>
      </c>
      <c r="M276" s="299">
        <v>1</v>
      </c>
      <c r="N276" s="299" t="s">
        <v>686</v>
      </c>
      <c r="O276" s="250">
        <v>45500</v>
      </c>
      <c r="P276" s="316">
        <v>45626</v>
      </c>
      <c r="Q276" s="312">
        <v>4286208</v>
      </c>
      <c r="R276" s="317"/>
      <c r="S276" s="317"/>
      <c r="T276" s="312">
        <v>0</v>
      </c>
      <c r="U276" s="318">
        <v>4</v>
      </c>
      <c r="V276" s="312">
        <v>4283208</v>
      </c>
      <c r="W276" s="356">
        <v>1750000000</v>
      </c>
      <c r="X276" s="353">
        <v>-0.43899999999999995</v>
      </c>
      <c r="Y276" s="376"/>
      <c r="Z276" s="376" t="s">
        <v>376</v>
      </c>
      <c r="AA276" s="356">
        <v>981750000</v>
      </c>
      <c r="AB276" s="270" t="s">
        <v>243</v>
      </c>
      <c r="AC276" s="393" t="s">
        <v>373</v>
      </c>
      <c r="AD276" s="393" t="s">
        <v>361</v>
      </c>
      <c r="AE276" s="358" t="s">
        <v>244</v>
      </c>
      <c r="AF276" s="359" t="str">
        <f t="shared" si="204"/>
        <v>CLE-274</v>
      </c>
      <c r="AG276" s="270">
        <v>80111600</v>
      </c>
      <c r="AH276" s="310" t="s">
        <v>737</v>
      </c>
      <c r="AI276" s="301" t="s">
        <v>393</v>
      </c>
      <c r="AJ276" s="301" t="s">
        <v>393</v>
      </c>
      <c r="AK276" s="302">
        <v>4</v>
      </c>
      <c r="AL276" s="303" t="s">
        <v>241</v>
      </c>
      <c r="AM276" s="304" t="s">
        <v>242</v>
      </c>
      <c r="AN276" s="305">
        <v>4283208</v>
      </c>
      <c r="AO276" s="305">
        <v>4283208</v>
      </c>
      <c r="AP276" s="303" t="s">
        <v>244</v>
      </c>
      <c r="AQ276" s="303" t="s">
        <v>245</v>
      </c>
      <c r="AR276" s="360" t="s">
        <v>246</v>
      </c>
      <c r="AS276" s="306" t="s">
        <v>247</v>
      </c>
      <c r="AT276" s="307" t="s">
        <v>372</v>
      </c>
      <c r="AU276" s="308" t="s">
        <v>248</v>
      </c>
      <c r="AV276" s="361" t="s">
        <v>249</v>
      </c>
      <c r="AW276" s="303" t="s">
        <v>244</v>
      </c>
      <c r="AX276" s="303" t="s">
        <v>361</v>
      </c>
      <c r="AY276" s="394" t="s">
        <v>250</v>
      </c>
      <c r="AZ276" s="394" t="s">
        <v>251</v>
      </c>
      <c r="BA276" s="394" t="s">
        <v>252</v>
      </c>
      <c r="BB276" s="394" t="s">
        <v>250</v>
      </c>
      <c r="BC276" s="394"/>
      <c r="BD276" s="394"/>
    </row>
    <row r="277" spans="1:56" customFormat="1" ht="48" x14ac:dyDescent="0.25">
      <c r="A277" s="298">
        <v>275</v>
      </c>
      <c r="B277" s="299" t="s">
        <v>90</v>
      </c>
      <c r="C277" s="299" t="s">
        <v>78</v>
      </c>
      <c r="D277" s="299" t="s">
        <v>375</v>
      </c>
      <c r="E277" s="299"/>
      <c r="F277" s="350" t="s">
        <v>383</v>
      </c>
      <c r="G277" s="350" t="s">
        <v>374</v>
      </c>
      <c r="H277" s="45" t="s">
        <v>69</v>
      </c>
      <c r="I277" s="299"/>
      <c r="J277" s="251">
        <v>1967592.5925925926</v>
      </c>
      <c r="K277" s="300">
        <v>5.0000000000000044E-2</v>
      </c>
      <c r="L277" s="311">
        <f t="shared" si="203"/>
        <v>1071552</v>
      </c>
      <c r="M277" s="299">
        <v>1</v>
      </c>
      <c r="N277" s="299" t="s">
        <v>686</v>
      </c>
      <c r="O277" s="250">
        <v>45500</v>
      </c>
      <c r="P277" s="316">
        <v>45626</v>
      </c>
      <c r="Q277" s="312">
        <v>4286208</v>
      </c>
      <c r="R277" s="317"/>
      <c r="S277" s="317"/>
      <c r="T277" s="312">
        <v>0</v>
      </c>
      <c r="U277" s="318">
        <v>4</v>
      </c>
      <c r="V277" s="312">
        <v>4283208</v>
      </c>
      <c r="W277" s="356">
        <v>1750000000</v>
      </c>
      <c r="X277" s="353">
        <v>-0.43899999999999995</v>
      </c>
      <c r="Y277" s="376"/>
      <c r="Z277" s="376" t="s">
        <v>376</v>
      </c>
      <c r="AA277" s="356">
        <v>981750000</v>
      </c>
      <c r="AB277" s="270" t="s">
        <v>243</v>
      </c>
      <c r="AC277" s="393" t="s">
        <v>373</v>
      </c>
      <c r="AD277" s="393" t="s">
        <v>361</v>
      </c>
      <c r="AE277" s="358" t="s">
        <v>244</v>
      </c>
      <c r="AF277" s="359" t="str">
        <f t="shared" si="204"/>
        <v>CLE-275</v>
      </c>
      <c r="AG277" s="270">
        <v>80111600</v>
      </c>
      <c r="AH277" s="310" t="s">
        <v>737</v>
      </c>
      <c r="AI277" s="301" t="s">
        <v>393</v>
      </c>
      <c r="AJ277" s="301" t="s">
        <v>393</v>
      </c>
      <c r="AK277" s="302">
        <v>4</v>
      </c>
      <c r="AL277" s="303" t="s">
        <v>241</v>
      </c>
      <c r="AM277" s="304" t="s">
        <v>242</v>
      </c>
      <c r="AN277" s="305">
        <v>4283208</v>
      </c>
      <c r="AO277" s="305">
        <v>4283208</v>
      </c>
      <c r="AP277" s="303" t="s">
        <v>244</v>
      </c>
      <c r="AQ277" s="303" t="s">
        <v>245</v>
      </c>
      <c r="AR277" s="360" t="s">
        <v>246</v>
      </c>
      <c r="AS277" s="306" t="s">
        <v>247</v>
      </c>
      <c r="AT277" s="307" t="s">
        <v>372</v>
      </c>
      <c r="AU277" s="308" t="s">
        <v>248</v>
      </c>
      <c r="AV277" s="361" t="s">
        <v>249</v>
      </c>
      <c r="AW277" s="303" t="s">
        <v>244</v>
      </c>
      <c r="AX277" s="303" t="s">
        <v>361</v>
      </c>
      <c r="AY277" s="394" t="s">
        <v>250</v>
      </c>
      <c r="AZ277" s="394" t="s">
        <v>251</v>
      </c>
      <c r="BA277" s="394" t="s">
        <v>252</v>
      </c>
      <c r="BB277" s="394" t="s">
        <v>250</v>
      </c>
      <c r="BC277" s="394"/>
      <c r="BD277" s="394"/>
    </row>
    <row r="278" spans="1:56" customFormat="1" ht="48" x14ac:dyDescent="0.25">
      <c r="A278" s="298">
        <v>276</v>
      </c>
      <c r="B278" s="299" t="s">
        <v>90</v>
      </c>
      <c r="C278" s="299" t="s">
        <v>78</v>
      </c>
      <c r="D278" s="299" t="s">
        <v>375</v>
      </c>
      <c r="E278" s="299"/>
      <c r="F278" s="350" t="s">
        <v>383</v>
      </c>
      <c r="G278" s="350" t="s">
        <v>374</v>
      </c>
      <c r="H278" s="45" t="s">
        <v>69</v>
      </c>
      <c r="I278" s="299"/>
      <c r="J278" s="251">
        <v>1967592.5925925926</v>
      </c>
      <c r="K278" s="300">
        <v>5.0000000000000044E-2</v>
      </c>
      <c r="L278" s="311">
        <f t="shared" si="203"/>
        <v>1071552</v>
      </c>
      <c r="M278" s="299">
        <v>1</v>
      </c>
      <c r="N278" s="299" t="s">
        <v>686</v>
      </c>
      <c r="O278" s="250">
        <v>45500</v>
      </c>
      <c r="P278" s="316">
        <v>45626</v>
      </c>
      <c r="Q278" s="312">
        <v>4286208</v>
      </c>
      <c r="R278" s="317"/>
      <c r="S278" s="317"/>
      <c r="T278" s="312">
        <v>0</v>
      </c>
      <c r="U278" s="318">
        <v>4</v>
      </c>
      <c r="V278" s="312">
        <v>4283208</v>
      </c>
      <c r="W278" s="356">
        <v>1750000000</v>
      </c>
      <c r="X278" s="353">
        <v>-0.43899999999999995</v>
      </c>
      <c r="Y278" s="376"/>
      <c r="Z278" s="376" t="s">
        <v>376</v>
      </c>
      <c r="AA278" s="356">
        <v>981750000</v>
      </c>
      <c r="AB278" s="270" t="s">
        <v>243</v>
      </c>
      <c r="AC278" s="393" t="s">
        <v>373</v>
      </c>
      <c r="AD278" s="393" t="s">
        <v>361</v>
      </c>
      <c r="AE278" s="358" t="s">
        <v>244</v>
      </c>
      <c r="AF278" s="359" t="str">
        <f t="shared" si="204"/>
        <v>CLE-276</v>
      </c>
      <c r="AG278" s="270">
        <v>80111600</v>
      </c>
      <c r="AH278" s="310" t="s">
        <v>737</v>
      </c>
      <c r="AI278" s="301" t="s">
        <v>393</v>
      </c>
      <c r="AJ278" s="301" t="s">
        <v>393</v>
      </c>
      <c r="AK278" s="302">
        <v>4</v>
      </c>
      <c r="AL278" s="303" t="s">
        <v>241</v>
      </c>
      <c r="AM278" s="304" t="s">
        <v>242</v>
      </c>
      <c r="AN278" s="305">
        <v>4283208</v>
      </c>
      <c r="AO278" s="305">
        <v>4283208</v>
      </c>
      <c r="AP278" s="303" t="s">
        <v>244</v>
      </c>
      <c r="AQ278" s="303" t="s">
        <v>245</v>
      </c>
      <c r="AR278" s="360" t="s">
        <v>246</v>
      </c>
      <c r="AS278" s="306" t="s">
        <v>247</v>
      </c>
      <c r="AT278" s="307" t="s">
        <v>372</v>
      </c>
      <c r="AU278" s="308" t="s">
        <v>248</v>
      </c>
      <c r="AV278" s="361" t="s">
        <v>249</v>
      </c>
      <c r="AW278" s="303" t="s">
        <v>244</v>
      </c>
      <c r="AX278" s="303" t="s">
        <v>361</v>
      </c>
      <c r="AY278" s="394" t="s">
        <v>250</v>
      </c>
      <c r="AZ278" s="394" t="s">
        <v>251</v>
      </c>
      <c r="BA278" s="394" t="s">
        <v>252</v>
      </c>
      <c r="BB278" s="394" t="s">
        <v>250</v>
      </c>
      <c r="BC278" s="394"/>
      <c r="BD278" s="394"/>
    </row>
    <row r="279" spans="1:56" customFormat="1" ht="48" x14ac:dyDescent="0.25">
      <c r="A279" s="298">
        <v>277</v>
      </c>
      <c r="B279" s="299" t="s">
        <v>90</v>
      </c>
      <c r="C279" s="299" t="s">
        <v>78</v>
      </c>
      <c r="D279" s="299" t="s">
        <v>375</v>
      </c>
      <c r="E279" s="299"/>
      <c r="F279" s="350" t="s">
        <v>383</v>
      </c>
      <c r="G279" s="350" t="s">
        <v>374</v>
      </c>
      <c r="H279" s="45" t="s">
        <v>69</v>
      </c>
      <c r="I279" s="299"/>
      <c r="J279" s="251">
        <v>1967592.5925925926</v>
      </c>
      <c r="K279" s="300">
        <v>5.0000000000000044E-2</v>
      </c>
      <c r="L279" s="311">
        <f t="shared" si="203"/>
        <v>1071552</v>
      </c>
      <c r="M279" s="299">
        <v>1</v>
      </c>
      <c r="N279" s="299" t="s">
        <v>686</v>
      </c>
      <c r="O279" s="250">
        <v>45500</v>
      </c>
      <c r="P279" s="316">
        <v>45626</v>
      </c>
      <c r="Q279" s="312">
        <v>4286208</v>
      </c>
      <c r="R279" s="317"/>
      <c r="S279" s="317"/>
      <c r="T279" s="312">
        <v>0</v>
      </c>
      <c r="U279" s="318">
        <v>4</v>
      </c>
      <c r="V279" s="312">
        <v>4283208</v>
      </c>
      <c r="W279" s="356">
        <v>1750000000</v>
      </c>
      <c r="X279" s="353">
        <v>-0.43899999999999995</v>
      </c>
      <c r="Y279" s="376"/>
      <c r="Z279" s="376" t="s">
        <v>376</v>
      </c>
      <c r="AA279" s="356">
        <v>981750000</v>
      </c>
      <c r="AB279" s="270" t="s">
        <v>243</v>
      </c>
      <c r="AC279" s="393" t="s">
        <v>373</v>
      </c>
      <c r="AD279" s="393" t="s">
        <v>361</v>
      </c>
      <c r="AE279" s="358" t="s">
        <v>244</v>
      </c>
      <c r="AF279" s="359" t="str">
        <f t="shared" si="204"/>
        <v>CLE-277</v>
      </c>
      <c r="AG279" s="270">
        <v>80111600</v>
      </c>
      <c r="AH279" s="310" t="s">
        <v>737</v>
      </c>
      <c r="AI279" s="301" t="s">
        <v>393</v>
      </c>
      <c r="AJ279" s="301" t="s">
        <v>393</v>
      </c>
      <c r="AK279" s="302">
        <v>4</v>
      </c>
      <c r="AL279" s="303" t="s">
        <v>241</v>
      </c>
      <c r="AM279" s="304" t="s">
        <v>242</v>
      </c>
      <c r="AN279" s="305">
        <v>4283208</v>
      </c>
      <c r="AO279" s="305">
        <v>4283208</v>
      </c>
      <c r="AP279" s="303" t="s">
        <v>244</v>
      </c>
      <c r="AQ279" s="303" t="s">
        <v>245</v>
      </c>
      <c r="AR279" s="360" t="s">
        <v>246</v>
      </c>
      <c r="AS279" s="306" t="s">
        <v>247</v>
      </c>
      <c r="AT279" s="307" t="s">
        <v>372</v>
      </c>
      <c r="AU279" s="308" t="s">
        <v>248</v>
      </c>
      <c r="AV279" s="361" t="s">
        <v>249</v>
      </c>
      <c r="AW279" s="303" t="s">
        <v>244</v>
      </c>
      <c r="AX279" s="303" t="s">
        <v>361</v>
      </c>
      <c r="AY279" s="394" t="s">
        <v>250</v>
      </c>
      <c r="AZ279" s="394" t="s">
        <v>251</v>
      </c>
      <c r="BA279" s="394" t="s">
        <v>252</v>
      </c>
      <c r="BB279" s="394" t="s">
        <v>250</v>
      </c>
      <c r="BC279" s="394"/>
      <c r="BD279" s="394"/>
    </row>
    <row r="280" spans="1:56" customFormat="1" ht="48" x14ac:dyDescent="0.25">
      <c r="A280" s="298">
        <v>278</v>
      </c>
      <c r="B280" s="299" t="s">
        <v>90</v>
      </c>
      <c r="C280" s="299" t="s">
        <v>78</v>
      </c>
      <c r="D280" s="299" t="s">
        <v>375</v>
      </c>
      <c r="E280" s="299"/>
      <c r="F280" s="350" t="s">
        <v>383</v>
      </c>
      <c r="G280" s="350" t="s">
        <v>374</v>
      </c>
      <c r="H280" s="45" t="s">
        <v>69</v>
      </c>
      <c r="I280" s="299"/>
      <c r="J280" s="251">
        <v>1967592.5925925926</v>
      </c>
      <c r="K280" s="300">
        <v>5.0000000000000044E-2</v>
      </c>
      <c r="L280" s="311">
        <f t="shared" si="203"/>
        <v>1071552</v>
      </c>
      <c r="M280" s="299">
        <v>1</v>
      </c>
      <c r="N280" s="299" t="s">
        <v>686</v>
      </c>
      <c r="O280" s="250">
        <v>45500</v>
      </c>
      <c r="P280" s="316">
        <v>45626</v>
      </c>
      <c r="Q280" s="312">
        <v>4286208</v>
      </c>
      <c r="R280" s="317"/>
      <c r="S280" s="317"/>
      <c r="T280" s="312">
        <v>0</v>
      </c>
      <c r="U280" s="318">
        <v>4</v>
      </c>
      <c r="V280" s="312">
        <v>4283208</v>
      </c>
      <c r="W280" s="356">
        <v>1750000000</v>
      </c>
      <c r="X280" s="353">
        <v>-0.43899999999999995</v>
      </c>
      <c r="Y280" s="376"/>
      <c r="Z280" s="376" t="s">
        <v>376</v>
      </c>
      <c r="AA280" s="356">
        <v>981750000</v>
      </c>
      <c r="AB280" s="270" t="s">
        <v>243</v>
      </c>
      <c r="AC280" s="393" t="s">
        <v>373</v>
      </c>
      <c r="AD280" s="393" t="s">
        <v>361</v>
      </c>
      <c r="AE280" s="358" t="s">
        <v>244</v>
      </c>
      <c r="AF280" s="359" t="str">
        <f t="shared" si="204"/>
        <v>CLE-278</v>
      </c>
      <c r="AG280" s="270">
        <v>80111600</v>
      </c>
      <c r="AH280" s="310" t="s">
        <v>737</v>
      </c>
      <c r="AI280" s="301" t="s">
        <v>393</v>
      </c>
      <c r="AJ280" s="301" t="s">
        <v>393</v>
      </c>
      <c r="AK280" s="302">
        <v>4</v>
      </c>
      <c r="AL280" s="303" t="s">
        <v>241</v>
      </c>
      <c r="AM280" s="304" t="s">
        <v>242</v>
      </c>
      <c r="AN280" s="305">
        <v>4283208</v>
      </c>
      <c r="AO280" s="305">
        <v>4283208</v>
      </c>
      <c r="AP280" s="303" t="s">
        <v>244</v>
      </c>
      <c r="AQ280" s="303" t="s">
        <v>245</v>
      </c>
      <c r="AR280" s="360" t="s">
        <v>246</v>
      </c>
      <c r="AS280" s="306" t="s">
        <v>247</v>
      </c>
      <c r="AT280" s="307" t="s">
        <v>372</v>
      </c>
      <c r="AU280" s="308" t="s">
        <v>248</v>
      </c>
      <c r="AV280" s="361" t="s">
        <v>249</v>
      </c>
      <c r="AW280" s="303" t="s">
        <v>244</v>
      </c>
      <c r="AX280" s="303" t="s">
        <v>361</v>
      </c>
      <c r="AY280" s="394" t="s">
        <v>250</v>
      </c>
      <c r="AZ280" s="394" t="s">
        <v>251</v>
      </c>
      <c r="BA280" s="394" t="s">
        <v>252</v>
      </c>
      <c r="BB280" s="394" t="s">
        <v>250</v>
      </c>
      <c r="BC280" s="394"/>
      <c r="BD280" s="394"/>
    </row>
    <row r="281" spans="1:56" customFormat="1" ht="48" x14ac:dyDescent="0.25">
      <c r="A281" s="298">
        <v>279</v>
      </c>
      <c r="B281" s="299" t="s">
        <v>90</v>
      </c>
      <c r="C281" s="299" t="s">
        <v>78</v>
      </c>
      <c r="D281" s="299" t="s">
        <v>375</v>
      </c>
      <c r="E281" s="299"/>
      <c r="F281" s="350" t="s">
        <v>383</v>
      </c>
      <c r="G281" s="350" t="s">
        <v>374</v>
      </c>
      <c r="H281" s="45" t="s">
        <v>69</v>
      </c>
      <c r="I281" s="299"/>
      <c r="J281" s="251">
        <v>1967592.5925925926</v>
      </c>
      <c r="K281" s="300">
        <v>5.0000000000000044E-2</v>
      </c>
      <c r="L281" s="311">
        <f t="shared" si="203"/>
        <v>1071552</v>
      </c>
      <c r="M281" s="299">
        <v>1</v>
      </c>
      <c r="N281" s="299" t="s">
        <v>686</v>
      </c>
      <c r="O281" s="250">
        <v>45500</v>
      </c>
      <c r="P281" s="316">
        <v>45626</v>
      </c>
      <c r="Q281" s="312">
        <v>4286208</v>
      </c>
      <c r="R281" s="317"/>
      <c r="S281" s="317"/>
      <c r="T281" s="312">
        <v>0</v>
      </c>
      <c r="U281" s="318">
        <v>4</v>
      </c>
      <c r="V281" s="312">
        <v>4283208</v>
      </c>
      <c r="W281" s="356">
        <v>1750000000</v>
      </c>
      <c r="X281" s="353">
        <v>-0.43899999999999995</v>
      </c>
      <c r="Y281" s="376"/>
      <c r="Z281" s="376" t="s">
        <v>376</v>
      </c>
      <c r="AA281" s="356">
        <v>981750000</v>
      </c>
      <c r="AB281" s="270" t="s">
        <v>243</v>
      </c>
      <c r="AC281" s="393" t="s">
        <v>373</v>
      </c>
      <c r="AD281" s="393" t="s">
        <v>361</v>
      </c>
      <c r="AE281" s="358" t="s">
        <v>244</v>
      </c>
      <c r="AF281" s="359" t="str">
        <f t="shared" si="204"/>
        <v>CLE-279</v>
      </c>
      <c r="AG281" s="270">
        <v>80111600</v>
      </c>
      <c r="AH281" s="310" t="s">
        <v>737</v>
      </c>
      <c r="AI281" s="301" t="s">
        <v>393</v>
      </c>
      <c r="AJ281" s="301" t="s">
        <v>393</v>
      </c>
      <c r="AK281" s="302">
        <v>4</v>
      </c>
      <c r="AL281" s="303" t="s">
        <v>241</v>
      </c>
      <c r="AM281" s="304" t="s">
        <v>242</v>
      </c>
      <c r="AN281" s="305">
        <v>4283208</v>
      </c>
      <c r="AO281" s="305">
        <v>4283208</v>
      </c>
      <c r="AP281" s="303" t="s">
        <v>244</v>
      </c>
      <c r="AQ281" s="303" t="s">
        <v>245</v>
      </c>
      <c r="AR281" s="360" t="s">
        <v>246</v>
      </c>
      <c r="AS281" s="306" t="s">
        <v>247</v>
      </c>
      <c r="AT281" s="307" t="s">
        <v>372</v>
      </c>
      <c r="AU281" s="308" t="s">
        <v>248</v>
      </c>
      <c r="AV281" s="361" t="s">
        <v>249</v>
      </c>
      <c r="AW281" s="303" t="s">
        <v>244</v>
      </c>
      <c r="AX281" s="303" t="s">
        <v>361</v>
      </c>
      <c r="AY281" s="394" t="s">
        <v>250</v>
      </c>
      <c r="AZ281" s="394" t="s">
        <v>251</v>
      </c>
      <c r="BA281" s="394" t="s">
        <v>252</v>
      </c>
      <c r="BB281" s="394" t="s">
        <v>250</v>
      </c>
      <c r="BC281" s="394"/>
      <c r="BD281" s="394"/>
    </row>
    <row r="282" spans="1:56" customFormat="1" ht="48" x14ac:dyDescent="0.25">
      <c r="A282" s="298">
        <v>280</v>
      </c>
      <c r="B282" s="299" t="s">
        <v>90</v>
      </c>
      <c r="C282" s="299" t="s">
        <v>78</v>
      </c>
      <c r="D282" s="299" t="s">
        <v>375</v>
      </c>
      <c r="E282" s="299"/>
      <c r="F282" s="350" t="s">
        <v>383</v>
      </c>
      <c r="G282" s="350" t="s">
        <v>374</v>
      </c>
      <c r="H282" s="45" t="s">
        <v>69</v>
      </c>
      <c r="I282" s="299"/>
      <c r="J282" s="251">
        <v>1967592.5925925926</v>
      </c>
      <c r="K282" s="300">
        <v>5.0000000000000044E-2</v>
      </c>
      <c r="L282" s="311">
        <f t="shared" si="203"/>
        <v>1071552</v>
      </c>
      <c r="M282" s="299">
        <v>1</v>
      </c>
      <c r="N282" s="299" t="s">
        <v>686</v>
      </c>
      <c r="O282" s="250">
        <v>45500</v>
      </c>
      <c r="P282" s="316">
        <v>45626</v>
      </c>
      <c r="Q282" s="312">
        <v>4286208</v>
      </c>
      <c r="R282" s="317"/>
      <c r="S282" s="317"/>
      <c r="T282" s="312">
        <v>0</v>
      </c>
      <c r="U282" s="318">
        <v>4</v>
      </c>
      <c r="V282" s="312">
        <v>4283208</v>
      </c>
      <c r="W282" s="356">
        <v>1750000000</v>
      </c>
      <c r="X282" s="353">
        <v>-0.43899999999999995</v>
      </c>
      <c r="Y282" s="376"/>
      <c r="Z282" s="376" t="s">
        <v>376</v>
      </c>
      <c r="AA282" s="356">
        <v>981750000</v>
      </c>
      <c r="AB282" s="270" t="s">
        <v>243</v>
      </c>
      <c r="AC282" s="393" t="s">
        <v>373</v>
      </c>
      <c r="AD282" s="393" t="s">
        <v>361</v>
      </c>
      <c r="AE282" s="358" t="s">
        <v>244</v>
      </c>
      <c r="AF282" s="359" t="str">
        <f t="shared" si="204"/>
        <v>CLE-280</v>
      </c>
      <c r="AG282" s="270">
        <v>80111600</v>
      </c>
      <c r="AH282" s="310" t="s">
        <v>737</v>
      </c>
      <c r="AI282" s="301" t="s">
        <v>393</v>
      </c>
      <c r="AJ282" s="301" t="s">
        <v>393</v>
      </c>
      <c r="AK282" s="302">
        <v>4</v>
      </c>
      <c r="AL282" s="303" t="s">
        <v>241</v>
      </c>
      <c r="AM282" s="304" t="s">
        <v>242</v>
      </c>
      <c r="AN282" s="305">
        <v>4283208</v>
      </c>
      <c r="AO282" s="305">
        <v>4283208</v>
      </c>
      <c r="AP282" s="303" t="s">
        <v>244</v>
      </c>
      <c r="AQ282" s="303" t="s">
        <v>245</v>
      </c>
      <c r="AR282" s="360" t="s">
        <v>246</v>
      </c>
      <c r="AS282" s="306" t="s">
        <v>247</v>
      </c>
      <c r="AT282" s="307" t="s">
        <v>372</v>
      </c>
      <c r="AU282" s="308" t="s">
        <v>248</v>
      </c>
      <c r="AV282" s="361" t="s">
        <v>249</v>
      </c>
      <c r="AW282" s="303" t="s">
        <v>244</v>
      </c>
      <c r="AX282" s="303" t="s">
        <v>361</v>
      </c>
      <c r="AY282" s="394" t="s">
        <v>250</v>
      </c>
      <c r="AZ282" s="394" t="s">
        <v>251</v>
      </c>
      <c r="BA282" s="394" t="s">
        <v>252</v>
      </c>
      <c r="BB282" s="394" t="s">
        <v>250</v>
      </c>
      <c r="BC282" s="394"/>
      <c r="BD282" s="394"/>
    </row>
    <row r="283" spans="1:56" customFormat="1" ht="48" x14ac:dyDescent="0.25">
      <c r="A283" s="298">
        <v>281</v>
      </c>
      <c r="B283" s="299" t="s">
        <v>90</v>
      </c>
      <c r="C283" s="299" t="s">
        <v>78</v>
      </c>
      <c r="D283" s="299" t="s">
        <v>375</v>
      </c>
      <c r="E283" s="299"/>
      <c r="F283" s="350" t="s">
        <v>383</v>
      </c>
      <c r="G283" s="350" t="s">
        <v>374</v>
      </c>
      <c r="H283" s="45" t="s">
        <v>69</v>
      </c>
      <c r="I283" s="299"/>
      <c r="J283" s="251">
        <v>1967592.5925925926</v>
      </c>
      <c r="K283" s="300">
        <v>5.0000000000000044E-2</v>
      </c>
      <c r="L283" s="311">
        <f t="shared" si="203"/>
        <v>1071552</v>
      </c>
      <c r="M283" s="299">
        <v>1</v>
      </c>
      <c r="N283" s="299" t="s">
        <v>686</v>
      </c>
      <c r="O283" s="250">
        <v>45500</v>
      </c>
      <c r="P283" s="316">
        <v>45626</v>
      </c>
      <c r="Q283" s="312">
        <v>4286208</v>
      </c>
      <c r="R283" s="317"/>
      <c r="S283" s="317"/>
      <c r="T283" s="312">
        <v>0</v>
      </c>
      <c r="U283" s="318">
        <v>4</v>
      </c>
      <c r="V283" s="312">
        <v>4283208</v>
      </c>
      <c r="W283" s="356">
        <v>1750000000</v>
      </c>
      <c r="X283" s="353">
        <v>-0.43899999999999995</v>
      </c>
      <c r="Y283" s="376"/>
      <c r="Z283" s="376" t="s">
        <v>376</v>
      </c>
      <c r="AA283" s="356">
        <v>981750000</v>
      </c>
      <c r="AB283" s="270" t="s">
        <v>243</v>
      </c>
      <c r="AC283" s="393" t="s">
        <v>373</v>
      </c>
      <c r="AD283" s="393" t="s">
        <v>361</v>
      </c>
      <c r="AE283" s="358" t="s">
        <v>244</v>
      </c>
      <c r="AF283" s="359" t="str">
        <f t="shared" si="204"/>
        <v>CLE-281</v>
      </c>
      <c r="AG283" s="270">
        <v>80111600</v>
      </c>
      <c r="AH283" s="310" t="s">
        <v>737</v>
      </c>
      <c r="AI283" s="301" t="s">
        <v>393</v>
      </c>
      <c r="AJ283" s="301" t="s">
        <v>393</v>
      </c>
      <c r="AK283" s="302">
        <v>4</v>
      </c>
      <c r="AL283" s="303" t="s">
        <v>241</v>
      </c>
      <c r="AM283" s="304" t="s">
        <v>242</v>
      </c>
      <c r="AN283" s="305">
        <v>4283208</v>
      </c>
      <c r="AO283" s="305">
        <v>4283208</v>
      </c>
      <c r="AP283" s="303" t="s">
        <v>244</v>
      </c>
      <c r="AQ283" s="303" t="s">
        <v>245</v>
      </c>
      <c r="AR283" s="360" t="s">
        <v>246</v>
      </c>
      <c r="AS283" s="306" t="s">
        <v>247</v>
      </c>
      <c r="AT283" s="307" t="s">
        <v>372</v>
      </c>
      <c r="AU283" s="308" t="s">
        <v>248</v>
      </c>
      <c r="AV283" s="361" t="s">
        <v>249</v>
      </c>
      <c r="AW283" s="303" t="s">
        <v>244</v>
      </c>
      <c r="AX283" s="303" t="s">
        <v>361</v>
      </c>
      <c r="AY283" s="394" t="s">
        <v>250</v>
      </c>
      <c r="AZ283" s="394" t="s">
        <v>251</v>
      </c>
      <c r="BA283" s="394" t="s">
        <v>252</v>
      </c>
      <c r="BB283" s="394" t="s">
        <v>250</v>
      </c>
      <c r="BC283" s="394"/>
      <c r="BD283" s="394"/>
    </row>
    <row r="284" spans="1:56" customFormat="1" ht="48" x14ac:dyDescent="0.25">
      <c r="A284" s="298">
        <v>282</v>
      </c>
      <c r="B284" s="299" t="s">
        <v>90</v>
      </c>
      <c r="C284" s="299" t="s">
        <v>78</v>
      </c>
      <c r="D284" s="299" t="s">
        <v>375</v>
      </c>
      <c r="E284" s="299"/>
      <c r="F284" s="350" t="s">
        <v>383</v>
      </c>
      <c r="G284" s="350" t="s">
        <v>374</v>
      </c>
      <c r="H284" s="45" t="s">
        <v>69</v>
      </c>
      <c r="I284" s="299"/>
      <c r="J284" s="251">
        <v>1967592.5925925926</v>
      </c>
      <c r="K284" s="300">
        <v>5.0000000000000044E-2</v>
      </c>
      <c r="L284" s="311">
        <f t="shared" si="203"/>
        <v>1071552</v>
      </c>
      <c r="M284" s="299">
        <v>1</v>
      </c>
      <c r="N284" s="299" t="s">
        <v>686</v>
      </c>
      <c r="O284" s="250">
        <v>45500</v>
      </c>
      <c r="P284" s="316">
        <v>45626</v>
      </c>
      <c r="Q284" s="312">
        <v>4286208</v>
      </c>
      <c r="R284" s="317"/>
      <c r="S284" s="317"/>
      <c r="T284" s="312">
        <v>0</v>
      </c>
      <c r="U284" s="318">
        <v>4</v>
      </c>
      <c r="V284" s="312">
        <v>4283208</v>
      </c>
      <c r="W284" s="356">
        <v>1750000000</v>
      </c>
      <c r="X284" s="353">
        <v>-0.43899999999999995</v>
      </c>
      <c r="Y284" s="376"/>
      <c r="Z284" s="376" t="s">
        <v>376</v>
      </c>
      <c r="AA284" s="356">
        <v>981750000</v>
      </c>
      <c r="AB284" s="270" t="s">
        <v>243</v>
      </c>
      <c r="AC284" s="393" t="s">
        <v>373</v>
      </c>
      <c r="AD284" s="393" t="s">
        <v>361</v>
      </c>
      <c r="AE284" s="358" t="s">
        <v>244</v>
      </c>
      <c r="AF284" s="359" t="str">
        <f t="shared" si="204"/>
        <v>CLE-282</v>
      </c>
      <c r="AG284" s="270">
        <v>80111600</v>
      </c>
      <c r="AH284" s="310" t="s">
        <v>737</v>
      </c>
      <c r="AI284" s="301" t="s">
        <v>393</v>
      </c>
      <c r="AJ284" s="301" t="s">
        <v>393</v>
      </c>
      <c r="AK284" s="302">
        <v>4</v>
      </c>
      <c r="AL284" s="303" t="s">
        <v>241</v>
      </c>
      <c r="AM284" s="304" t="s">
        <v>242</v>
      </c>
      <c r="AN284" s="305">
        <v>4283208</v>
      </c>
      <c r="AO284" s="305">
        <v>4283208</v>
      </c>
      <c r="AP284" s="303" t="s">
        <v>244</v>
      </c>
      <c r="AQ284" s="303" t="s">
        <v>245</v>
      </c>
      <c r="AR284" s="360" t="s">
        <v>246</v>
      </c>
      <c r="AS284" s="306" t="s">
        <v>247</v>
      </c>
      <c r="AT284" s="307" t="s">
        <v>372</v>
      </c>
      <c r="AU284" s="308" t="s">
        <v>248</v>
      </c>
      <c r="AV284" s="361" t="s">
        <v>249</v>
      </c>
      <c r="AW284" s="303" t="s">
        <v>244</v>
      </c>
      <c r="AX284" s="303" t="s">
        <v>361</v>
      </c>
      <c r="AY284" s="394" t="s">
        <v>250</v>
      </c>
      <c r="AZ284" s="394" t="s">
        <v>251</v>
      </c>
      <c r="BA284" s="394" t="s">
        <v>252</v>
      </c>
      <c r="BB284" s="394" t="s">
        <v>250</v>
      </c>
      <c r="BC284" s="394"/>
      <c r="BD284" s="394"/>
    </row>
    <row r="285" spans="1:56" customFormat="1" ht="48" x14ac:dyDescent="0.25">
      <c r="A285" s="298">
        <v>283</v>
      </c>
      <c r="B285" s="299" t="s">
        <v>90</v>
      </c>
      <c r="C285" s="299" t="s">
        <v>78</v>
      </c>
      <c r="D285" s="299" t="s">
        <v>375</v>
      </c>
      <c r="E285" s="299"/>
      <c r="F285" s="350" t="s">
        <v>383</v>
      </c>
      <c r="G285" s="350" t="s">
        <v>374</v>
      </c>
      <c r="H285" s="45" t="s">
        <v>69</v>
      </c>
      <c r="I285" s="299"/>
      <c r="J285" s="251">
        <v>1967592.5925925926</v>
      </c>
      <c r="K285" s="300">
        <v>5.0000000000000044E-2</v>
      </c>
      <c r="L285" s="311">
        <f t="shared" si="203"/>
        <v>1071552</v>
      </c>
      <c r="M285" s="299">
        <v>1</v>
      </c>
      <c r="N285" s="299" t="s">
        <v>686</v>
      </c>
      <c r="O285" s="250">
        <v>45500</v>
      </c>
      <c r="P285" s="316">
        <v>45626</v>
      </c>
      <c r="Q285" s="312">
        <v>4286208</v>
      </c>
      <c r="R285" s="317"/>
      <c r="S285" s="317"/>
      <c r="T285" s="312">
        <v>0</v>
      </c>
      <c r="U285" s="318">
        <v>4</v>
      </c>
      <c r="V285" s="312">
        <v>4283208</v>
      </c>
      <c r="W285" s="356">
        <v>1750000000</v>
      </c>
      <c r="X285" s="353">
        <v>-0.43899999999999995</v>
      </c>
      <c r="Y285" s="376"/>
      <c r="Z285" s="376" t="s">
        <v>376</v>
      </c>
      <c r="AA285" s="356">
        <v>981750000</v>
      </c>
      <c r="AB285" s="270" t="s">
        <v>243</v>
      </c>
      <c r="AC285" s="393" t="s">
        <v>373</v>
      </c>
      <c r="AD285" s="393" t="s">
        <v>361</v>
      </c>
      <c r="AE285" s="358" t="s">
        <v>244</v>
      </c>
      <c r="AF285" s="359" t="str">
        <f t="shared" si="204"/>
        <v>CLE-283</v>
      </c>
      <c r="AG285" s="270">
        <v>80111600</v>
      </c>
      <c r="AH285" s="310" t="s">
        <v>737</v>
      </c>
      <c r="AI285" s="301" t="s">
        <v>393</v>
      </c>
      <c r="AJ285" s="301" t="s">
        <v>393</v>
      </c>
      <c r="AK285" s="302">
        <v>4</v>
      </c>
      <c r="AL285" s="303" t="s">
        <v>241</v>
      </c>
      <c r="AM285" s="304" t="s">
        <v>242</v>
      </c>
      <c r="AN285" s="305">
        <v>4283208</v>
      </c>
      <c r="AO285" s="305">
        <v>4283208</v>
      </c>
      <c r="AP285" s="303" t="s">
        <v>244</v>
      </c>
      <c r="AQ285" s="303" t="s">
        <v>245</v>
      </c>
      <c r="AR285" s="360" t="s">
        <v>246</v>
      </c>
      <c r="AS285" s="306" t="s">
        <v>247</v>
      </c>
      <c r="AT285" s="307" t="s">
        <v>372</v>
      </c>
      <c r="AU285" s="308" t="s">
        <v>248</v>
      </c>
      <c r="AV285" s="361" t="s">
        <v>249</v>
      </c>
      <c r="AW285" s="303" t="s">
        <v>244</v>
      </c>
      <c r="AX285" s="303" t="s">
        <v>361</v>
      </c>
      <c r="AY285" s="394" t="s">
        <v>250</v>
      </c>
      <c r="AZ285" s="394" t="s">
        <v>251</v>
      </c>
      <c r="BA285" s="394" t="s">
        <v>252</v>
      </c>
      <c r="BB285" s="394" t="s">
        <v>250</v>
      </c>
      <c r="BC285" s="394"/>
      <c r="BD285" s="394"/>
    </row>
    <row r="286" spans="1:56" customFormat="1" ht="48" x14ac:dyDescent="0.25">
      <c r="A286" s="298">
        <v>284</v>
      </c>
      <c r="B286" s="299" t="s">
        <v>90</v>
      </c>
      <c r="C286" s="299" t="s">
        <v>78</v>
      </c>
      <c r="D286" s="299" t="s">
        <v>375</v>
      </c>
      <c r="E286" s="299"/>
      <c r="F286" s="350" t="s">
        <v>383</v>
      </c>
      <c r="G286" s="350" t="s">
        <v>374</v>
      </c>
      <c r="H286" s="45" t="s">
        <v>69</v>
      </c>
      <c r="I286" s="299"/>
      <c r="J286" s="251">
        <v>1967592.5925925926</v>
      </c>
      <c r="K286" s="300">
        <v>5.0000000000000044E-2</v>
      </c>
      <c r="L286" s="311">
        <f t="shared" si="203"/>
        <v>1071552</v>
      </c>
      <c r="M286" s="299">
        <v>1</v>
      </c>
      <c r="N286" s="299" t="s">
        <v>686</v>
      </c>
      <c r="O286" s="250">
        <v>45500</v>
      </c>
      <c r="P286" s="316">
        <v>45626</v>
      </c>
      <c r="Q286" s="312">
        <v>4286208</v>
      </c>
      <c r="R286" s="317"/>
      <c r="S286" s="317"/>
      <c r="T286" s="312">
        <v>0</v>
      </c>
      <c r="U286" s="318">
        <v>4</v>
      </c>
      <c r="V286" s="312">
        <v>4283208</v>
      </c>
      <c r="W286" s="356">
        <v>1750000000</v>
      </c>
      <c r="X286" s="353">
        <v>-0.43899999999999995</v>
      </c>
      <c r="Y286" s="376"/>
      <c r="Z286" s="376" t="s">
        <v>376</v>
      </c>
      <c r="AA286" s="356">
        <v>981750000</v>
      </c>
      <c r="AB286" s="270" t="s">
        <v>243</v>
      </c>
      <c r="AC286" s="393" t="s">
        <v>373</v>
      </c>
      <c r="AD286" s="393" t="s">
        <v>361</v>
      </c>
      <c r="AE286" s="358" t="s">
        <v>244</v>
      </c>
      <c r="AF286" s="359" t="str">
        <f t="shared" si="204"/>
        <v>CLE-284</v>
      </c>
      <c r="AG286" s="270">
        <v>80111600</v>
      </c>
      <c r="AH286" s="310" t="s">
        <v>737</v>
      </c>
      <c r="AI286" s="301" t="s">
        <v>393</v>
      </c>
      <c r="AJ286" s="301" t="s">
        <v>393</v>
      </c>
      <c r="AK286" s="302">
        <v>4</v>
      </c>
      <c r="AL286" s="303" t="s">
        <v>241</v>
      </c>
      <c r="AM286" s="304" t="s">
        <v>242</v>
      </c>
      <c r="AN286" s="305">
        <v>4283208</v>
      </c>
      <c r="AO286" s="305">
        <v>4283208</v>
      </c>
      <c r="AP286" s="303" t="s">
        <v>244</v>
      </c>
      <c r="AQ286" s="303" t="s">
        <v>245</v>
      </c>
      <c r="AR286" s="360" t="s">
        <v>246</v>
      </c>
      <c r="AS286" s="306" t="s">
        <v>247</v>
      </c>
      <c r="AT286" s="307" t="s">
        <v>372</v>
      </c>
      <c r="AU286" s="308" t="s">
        <v>248</v>
      </c>
      <c r="AV286" s="361" t="s">
        <v>249</v>
      </c>
      <c r="AW286" s="303" t="s">
        <v>244</v>
      </c>
      <c r="AX286" s="303" t="s">
        <v>361</v>
      </c>
      <c r="AY286" s="394" t="s">
        <v>250</v>
      </c>
      <c r="AZ286" s="394" t="s">
        <v>251</v>
      </c>
      <c r="BA286" s="394" t="s">
        <v>252</v>
      </c>
      <c r="BB286" s="394" t="s">
        <v>250</v>
      </c>
      <c r="BC286" s="394"/>
      <c r="BD286" s="394"/>
    </row>
    <row r="287" spans="1:56" customFormat="1" ht="48" x14ac:dyDescent="0.25">
      <c r="A287" s="298">
        <v>285</v>
      </c>
      <c r="B287" s="299" t="s">
        <v>90</v>
      </c>
      <c r="C287" s="299" t="s">
        <v>78</v>
      </c>
      <c r="D287" s="299" t="s">
        <v>375</v>
      </c>
      <c r="E287" s="299"/>
      <c r="F287" s="350" t="s">
        <v>383</v>
      </c>
      <c r="G287" s="350" t="s">
        <v>374</v>
      </c>
      <c r="H287" s="45" t="s">
        <v>69</v>
      </c>
      <c r="I287" s="299"/>
      <c r="J287" s="251">
        <v>1967592.5925925926</v>
      </c>
      <c r="K287" s="300">
        <v>5.0000000000000044E-2</v>
      </c>
      <c r="L287" s="311">
        <f t="shared" si="203"/>
        <v>1071552</v>
      </c>
      <c r="M287" s="299">
        <v>1</v>
      </c>
      <c r="N287" s="299" t="s">
        <v>686</v>
      </c>
      <c r="O287" s="250">
        <v>45500</v>
      </c>
      <c r="P287" s="316">
        <v>45626</v>
      </c>
      <c r="Q287" s="312">
        <v>4286208</v>
      </c>
      <c r="R287" s="317"/>
      <c r="S287" s="317"/>
      <c r="T287" s="312">
        <v>0</v>
      </c>
      <c r="U287" s="318">
        <v>4</v>
      </c>
      <c r="V287" s="312">
        <v>4283208</v>
      </c>
      <c r="W287" s="356">
        <v>1750000000</v>
      </c>
      <c r="X287" s="353">
        <v>-0.43899999999999995</v>
      </c>
      <c r="Y287" s="376"/>
      <c r="Z287" s="376" t="s">
        <v>376</v>
      </c>
      <c r="AA287" s="356">
        <v>981750000</v>
      </c>
      <c r="AB287" s="270" t="s">
        <v>243</v>
      </c>
      <c r="AC287" s="393" t="s">
        <v>373</v>
      </c>
      <c r="AD287" s="393" t="s">
        <v>361</v>
      </c>
      <c r="AE287" s="358" t="s">
        <v>244</v>
      </c>
      <c r="AF287" s="359" t="str">
        <f t="shared" si="204"/>
        <v>CLE-285</v>
      </c>
      <c r="AG287" s="270">
        <v>80111600</v>
      </c>
      <c r="AH287" s="310" t="s">
        <v>737</v>
      </c>
      <c r="AI287" s="301" t="s">
        <v>393</v>
      </c>
      <c r="AJ287" s="301" t="s">
        <v>393</v>
      </c>
      <c r="AK287" s="302">
        <v>4</v>
      </c>
      <c r="AL287" s="303" t="s">
        <v>241</v>
      </c>
      <c r="AM287" s="304" t="s">
        <v>242</v>
      </c>
      <c r="AN287" s="305">
        <v>4283208</v>
      </c>
      <c r="AO287" s="305">
        <v>4283208</v>
      </c>
      <c r="AP287" s="303" t="s">
        <v>244</v>
      </c>
      <c r="AQ287" s="303" t="s">
        <v>245</v>
      </c>
      <c r="AR287" s="360" t="s">
        <v>246</v>
      </c>
      <c r="AS287" s="306" t="s">
        <v>247</v>
      </c>
      <c r="AT287" s="307" t="s">
        <v>372</v>
      </c>
      <c r="AU287" s="308" t="s">
        <v>248</v>
      </c>
      <c r="AV287" s="361" t="s">
        <v>249</v>
      </c>
      <c r="AW287" s="303" t="s">
        <v>244</v>
      </c>
      <c r="AX287" s="303" t="s">
        <v>361</v>
      </c>
      <c r="AY287" s="394" t="s">
        <v>250</v>
      </c>
      <c r="AZ287" s="394" t="s">
        <v>251</v>
      </c>
      <c r="BA287" s="394" t="s">
        <v>252</v>
      </c>
      <c r="BB287" s="394" t="s">
        <v>250</v>
      </c>
      <c r="BC287" s="394"/>
      <c r="BD287" s="394"/>
    </row>
    <row r="288" spans="1:56" customFormat="1" ht="48" x14ac:dyDescent="0.25">
      <c r="A288" s="298">
        <v>286</v>
      </c>
      <c r="B288" s="299" t="s">
        <v>90</v>
      </c>
      <c r="C288" s="299" t="s">
        <v>78</v>
      </c>
      <c r="D288" s="299" t="s">
        <v>375</v>
      </c>
      <c r="E288" s="299"/>
      <c r="F288" s="350" t="s">
        <v>383</v>
      </c>
      <c r="G288" s="350" t="s">
        <v>374</v>
      </c>
      <c r="H288" s="45" t="s">
        <v>69</v>
      </c>
      <c r="I288" s="299"/>
      <c r="J288" s="251">
        <v>1967592.5925925926</v>
      </c>
      <c r="K288" s="300">
        <v>5.0000000000000044E-2</v>
      </c>
      <c r="L288" s="311">
        <f t="shared" si="203"/>
        <v>1071552</v>
      </c>
      <c r="M288" s="299">
        <v>1</v>
      </c>
      <c r="N288" s="299" t="s">
        <v>686</v>
      </c>
      <c r="O288" s="250">
        <v>45500</v>
      </c>
      <c r="P288" s="316">
        <v>45626</v>
      </c>
      <c r="Q288" s="312">
        <v>4286208</v>
      </c>
      <c r="R288" s="317"/>
      <c r="S288" s="317"/>
      <c r="T288" s="312">
        <v>0</v>
      </c>
      <c r="U288" s="318">
        <v>4</v>
      </c>
      <c r="V288" s="312">
        <v>4283208</v>
      </c>
      <c r="W288" s="356">
        <v>1750000000</v>
      </c>
      <c r="X288" s="353">
        <v>-0.43899999999999995</v>
      </c>
      <c r="Y288" s="376"/>
      <c r="Z288" s="376" t="s">
        <v>376</v>
      </c>
      <c r="AA288" s="356">
        <v>981750000</v>
      </c>
      <c r="AB288" s="270" t="s">
        <v>243</v>
      </c>
      <c r="AC288" s="393" t="s">
        <v>373</v>
      </c>
      <c r="AD288" s="393" t="s">
        <v>361</v>
      </c>
      <c r="AE288" s="358" t="s">
        <v>244</v>
      </c>
      <c r="AF288" s="359" t="str">
        <f t="shared" si="204"/>
        <v>CLE-286</v>
      </c>
      <c r="AG288" s="270">
        <v>80111600</v>
      </c>
      <c r="AH288" s="310" t="s">
        <v>737</v>
      </c>
      <c r="AI288" s="301" t="s">
        <v>393</v>
      </c>
      <c r="AJ288" s="301" t="s">
        <v>393</v>
      </c>
      <c r="AK288" s="302">
        <v>4</v>
      </c>
      <c r="AL288" s="303" t="s">
        <v>241</v>
      </c>
      <c r="AM288" s="304" t="s">
        <v>242</v>
      </c>
      <c r="AN288" s="305">
        <v>4283208</v>
      </c>
      <c r="AO288" s="305">
        <v>4283208</v>
      </c>
      <c r="AP288" s="303" t="s">
        <v>244</v>
      </c>
      <c r="AQ288" s="303" t="s">
        <v>245</v>
      </c>
      <c r="AR288" s="360" t="s">
        <v>246</v>
      </c>
      <c r="AS288" s="306" t="s">
        <v>247</v>
      </c>
      <c r="AT288" s="307" t="s">
        <v>372</v>
      </c>
      <c r="AU288" s="308" t="s">
        <v>248</v>
      </c>
      <c r="AV288" s="361" t="s">
        <v>249</v>
      </c>
      <c r="AW288" s="303" t="s">
        <v>244</v>
      </c>
      <c r="AX288" s="303" t="s">
        <v>361</v>
      </c>
      <c r="AY288" s="394" t="s">
        <v>250</v>
      </c>
      <c r="AZ288" s="394" t="s">
        <v>251</v>
      </c>
      <c r="BA288" s="394" t="s">
        <v>252</v>
      </c>
      <c r="BB288" s="394" t="s">
        <v>250</v>
      </c>
      <c r="BC288" s="394"/>
      <c r="BD288" s="394"/>
    </row>
    <row r="289" spans="1:56" customFormat="1" ht="48" x14ac:dyDescent="0.25">
      <c r="A289" s="298">
        <v>287</v>
      </c>
      <c r="B289" s="299" t="s">
        <v>90</v>
      </c>
      <c r="C289" s="299" t="s">
        <v>78</v>
      </c>
      <c r="D289" s="299" t="s">
        <v>375</v>
      </c>
      <c r="E289" s="299"/>
      <c r="F289" s="350" t="s">
        <v>383</v>
      </c>
      <c r="G289" s="350" t="s">
        <v>374</v>
      </c>
      <c r="H289" s="45" t="s">
        <v>69</v>
      </c>
      <c r="I289" s="299"/>
      <c r="J289" s="251">
        <v>1967592.5925925926</v>
      </c>
      <c r="K289" s="300">
        <v>5.0000000000000044E-2</v>
      </c>
      <c r="L289" s="311">
        <f t="shared" si="203"/>
        <v>1071552</v>
      </c>
      <c r="M289" s="299">
        <v>1</v>
      </c>
      <c r="N289" s="299" t="s">
        <v>686</v>
      </c>
      <c r="O289" s="250">
        <v>45500</v>
      </c>
      <c r="P289" s="316">
        <v>45626</v>
      </c>
      <c r="Q289" s="312">
        <v>4286208</v>
      </c>
      <c r="R289" s="317"/>
      <c r="S289" s="317"/>
      <c r="T289" s="312">
        <v>0</v>
      </c>
      <c r="U289" s="318">
        <v>4</v>
      </c>
      <c r="V289" s="312">
        <v>4283208</v>
      </c>
      <c r="W289" s="356">
        <v>1750000000</v>
      </c>
      <c r="X289" s="353">
        <v>-0.43899999999999995</v>
      </c>
      <c r="Y289" s="376"/>
      <c r="Z289" s="376" t="s">
        <v>376</v>
      </c>
      <c r="AA289" s="356">
        <v>981750000</v>
      </c>
      <c r="AB289" s="270" t="s">
        <v>243</v>
      </c>
      <c r="AC289" s="393" t="s">
        <v>373</v>
      </c>
      <c r="AD289" s="393" t="s">
        <v>361</v>
      </c>
      <c r="AE289" s="358" t="s">
        <v>244</v>
      </c>
      <c r="AF289" s="359" t="str">
        <f t="shared" si="204"/>
        <v>CLE-287</v>
      </c>
      <c r="AG289" s="270">
        <v>80111600</v>
      </c>
      <c r="AH289" s="310" t="s">
        <v>737</v>
      </c>
      <c r="AI289" s="301" t="s">
        <v>393</v>
      </c>
      <c r="AJ289" s="301" t="s">
        <v>393</v>
      </c>
      <c r="AK289" s="302">
        <v>4</v>
      </c>
      <c r="AL289" s="303" t="s">
        <v>241</v>
      </c>
      <c r="AM289" s="304" t="s">
        <v>242</v>
      </c>
      <c r="AN289" s="305">
        <v>4283208</v>
      </c>
      <c r="AO289" s="305">
        <v>4283208</v>
      </c>
      <c r="AP289" s="303" t="s">
        <v>244</v>
      </c>
      <c r="AQ289" s="303" t="s">
        <v>245</v>
      </c>
      <c r="AR289" s="360" t="s">
        <v>246</v>
      </c>
      <c r="AS289" s="306" t="s">
        <v>247</v>
      </c>
      <c r="AT289" s="307" t="s">
        <v>372</v>
      </c>
      <c r="AU289" s="308" t="s">
        <v>248</v>
      </c>
      <c r="AV289" s="361" t="s">
        <v>249</v>
      </c>
      <c r="AW289" s="303" t="s">
        <v>244</v>
      </c>
      <c r="AX289" s="303" t="s">
        <v>361</v>
      </c>
      <c r="AY289" s="394" t="s">
        <v>250</v>
      </c>
      <c r="AZ289" s="394" t="s">
        <v>251</v>
      </c>
      <c r="BA289" s="394" t="s">
        <v>252</v>
      </c>
      <c r="BB289" s="394" t="s">
        <v>250</v>
      </c>
      <c r="BC289" s="394"/>
      <c r="BD289" s="394"/>
    </row>
    <row r="290" spans="1:56" customFormat="1" ht="48" x14ac:dyDescent="0.25">
      <c r="A290" s="298">
        <v>288</v>
      </c>
      <c r="B290" s="299" t="s">
        <v>90</v>
      </c>
      <c r="C290" s="299" t="s">
        <v>78</v>
      </c>
      <c r="D290" s="299" t="s">
        <v>375</v>
      </c>
      <c r="E290" s="299"/>
      <c r="F290" s="350" t="s">
        <v>383</v>
      </c>
      <c r="G290" s="350" t="s">
        <v>374</v>
      </c>
      <c r="H290" s="45" t="s">
        <v>69</v>
      </c>
      <c r="I290" s="299"/>
      <c r="J290" s="251">
        <v>1967592.5925925926</v>
      </c>
      <c r="K290" s="300">
        <v>5.0000000000000044E-2</v>
      </c>
      <c r="L290" s="311">
        <f t="shared" si="203"/>
        <v>1071552</v>
      </c>
      <c r="M290" s="299">
        <v>1</v>
      </c>
      <c r="N290" s="299" t="s">
        <v>686</v>
      </c>
      <c r="O290" s="250">
        <v>45500</v>
      </c>
      <c r="P290" s="316">
        <v>45626</v>
      </c>
      <c r="Q290" s="312">
        <v>4286208</v>
      </c>
      <c r="R290" s="317"/>
      <c r="S290" s="317"/>
      <c r="T290" s="312">
        <v>0</v>
      </c>
      <c r="U290" s="318">
        <v>4</v>
      </c>
      <c r="V290" s="312">
        <v>4283208</v>
      </c>
      <c r="W290" s="356">
        <v>1750000000</v>
      </c>
      <c r="X290" s="353">
        <v>-0.43899999999999995</v>
      </c>
      <c r="Y290" s="376"/>
      <c r="Z290" s="376" t="s">
        <v>376</v>
      </c>
      <c r="AA290" s="356">
        <v>981750000</v>
      </c>
      <c r="AB290" s="270" t="s">
        <v>243</v>
      </c>
      <c r="AC290" s="393" t="s">
        <v>373</v>
      </c>
      <c r="AD290" s="393" t="s">
        <v>361</v>
      </c>
      <c r="AE290" s="358" t="s">
        <v>244</v>
      </c>
      <c r="AF290" s="359" t="str">
        <f t="shared" si="204"/>
        <v>CLE-288</v>
      </c>
      <c r="AG290" s="270">
        <v>80111600</v>
      </c>
      <c r="AH290" s="310" t="s">
        <v>737</v>
      </c>
      <c r="AI290" s="301" t="s">
        <v>393</v>
      </c>
      <c r="AJ290" s="301" t="s">
        <v>393</v>
      </c>
      <c r="AK290" s="302">
        <v>4</v>
      </c>
      <c r="AL290" s="303" t="s">
        <v>241</v>
      </c>
      <c r="AM290" s="304" t="s">
        <v>242</v>
      </c>
      <c r="AN290" s="305">
        <v>4283208</v>
      </c>
      <c r="AO290" s="305">
        <v>4283208</v>
      </c>
      <c r="AP290" s="303" t="s">
        <v>244</v>
      </c>
      <c r="AQ290" s="303" t="s">
        <v>245</v>
      </c>
      <c r="AR290" s="360" t="s">
        <v>246</v>
      </c>
      <c r="AS290" s="306" t="s">
        <v>247</v>
      </c>
      <c r="AT290" s="307" t="s">
        <v>372</v>
      </c>
      <c r="AU290" s="308" t="s">
        <v>248</v>
      </c>
      <c r="AV290" s="361" t="s">
        <v>249</v>
      </c>
      <c r="AW290" s="303" t="s">
        <v>244</v>
      </c>
      <c r="AX290" s="303" t="s">
        <v>361</v>
      </c>
      <c r="AY290" s="394" t="s">
        <v>250</v>
      </c>
      <c r="AZ290" s="394" t="s">
        <v>251</v>
      </c>
      <c r="BA290" s="394" t="s">
        <v>252</v>
      </c>
      <c r="BB290" s="394" t="s">
        <v>250</v>
      </c>
      <c r="BC290" s="394"/>
      <c r="BD290" s="394"/>
    </row>
    <row r="291" spans="1:56" customFormat="1" ht="48" x14ac:dyDescent="0.25">
      <c r="A291" s="298">
        <v>289</v>
      </c>
      <c r="B291" s="299" t="s">
        <v>90</v>
      </c>
      <c r="C291" s="299" t="s">
        <v>78</v>
      </c>
      <c r="D291" s="299" t="s">
        <v>375</v>
      </c>
      <c r="E291" s="299"/>
      <c r="F291" s="350" t="s">
        <v>383</v>
      </c>
      <c r="G291" s="350" t="s">
        <v>374</v>
      </c>
      <c r="H291" s="45" t="s">
        <v>69</v>
      </c>
      <c r="I291" s="299"/>
      <c r="J291" s="251">
        <v>1967592.5925925926</v>
      </c>
      <c r="K291" s="300">
        <v>5.0000000000000044E-2</v>
      </c>
      <c r="L291" s="311">
        <f t="shared" si="203"/>
        <v>1071552</v>
      </c>
      <c r="M291" s="299">
        <v>1</v>
      </c>
      <c r="N291" s="299" t="s">
        <v>686</v>
      </c>
      <c r="O291" s="250">
        <v>45500</v>
      </c>
      <c r="P291" s="316">
        <v>45626</v>
      </c>
      <c r="Q291" s="312">
        <v>4286208</v>
      </c>
      <c r="R291" s="317"/>
      <c r="S291" s="317"/>
      <c r="T291" s="312">
        <v>0</v>
      </c>
      <c r="U291" s="318">
        <v>4</v>
      </c>
      <c r="V291" s="312">
        <v>4283208</v>
      </c>
      <c r="W291" s="356">
        <v>1750000000</v>
      </c>
      <c r="X291" s="353">
        <v>-0.43899999999999995</v>
      </c>
      <c r="Y291" s="376"/>
      <c r="Z291" s="376" t="s">
        <v>376</v>
      </c>
      <c r="AA291" s="356">
        <v>981750000</v>
      </c>
      <c r="AB291" s="270" t="s">
        <v>243</v>
      </c>
      <c r="AC291" s="393" t="s">
        <v>373</v>
      </c>
      <c r="AD291" s="393" t="s">
        <v>361</v>
      </c>
      <c r="AE291" s="358" t="s">
        <v>244</v>
      </c>
      <c r="AF291" s="359" t="str">
        <f t="shared" si="204"/>
        <v>CLE-289</v>
      </c>
      <c r="AG291" s="270">
        <v>80111600</v>
      </c>
      <c r="AH291" s="310" t="s">
        <v>737</v>
      </c>
      <c r="AI291" s="301" t="s">
        <v>393</v>
      </c>
      <c r="AJ291" s="301" t="s">
        <v>393</v>
      </c>
      <c r="AK291" s="302">
        <v>4</v>
      </c>
      <c r="AL291" s="303" t="s">
        <v>241</v>
      </c>
      <c r="AM291" s="304" t="s">
        <v>242</v>
      </c>
      <c r="AN291" s="305">
        <v>4283208</v>
      </c>
      <c r="AO291" s="305">
        <v>4283208</v>
      </c>
      <c r="AP291" s="303" t="s">
        <v>244</v>
      </c>
      <c r="AQ291" s="303" t="s">
        <v>245</v>
      </c>
      <c r="AR291" s="360" t="s">
        <v>246</v>
      </c>
      <c r="AS291" s="306" t="s">
        <v>247</v>
      </c>
      <c r="AT291" s="307" t="s">
        <v>372</v>
      </c>
      <c r="AU291" s="308" t="s">
        <v>248</v>
      </c>
      <c r="AV291" s="361" t="s">
        <v>249</v>
      </c>
      <c r="AW291" s="303" t="s">
        <v>244</v>
      </c>
      <c r="AX291" s="303" t="s">
        <v>361</v>
      </c>
      <c r="AY291" s="394" t="s">
        <v>250</v>
      </c>
      <c r="AZ291" s="394" t="s">
        <v>251</v>
      </c>
      <c r="BA291" s="394" t="s">
        <v>252</v>
      </c>
      <c r="BB291" s="394" t="s">
        <v>250</v>
      </c>
      <c r="BC291" s="394"/>
      <c r="BD291" s="394"/>
    </row>
    <row r="292" spans="1:56" customFormat="1" ht="48" x14ac:dyDescent="0.25">
      <c r="A292" s="298">
        <v>290</v>
      </c>
      <c r="B292" s="299" t="s">
        <v>90</v>
      </c>
      <c r="C292" s="299" t="s">
        <v>78</v>
      </c>
      <c r="D292" s="299" t="s">
        <v>375</v>
      </c>
      <c r="E292" s="299"/>
      <c r="F292" s="350" t="s">
        <v>383</v>
      </c>
      <c r="G292" s="350" t="s">
        <v>374</v>
      </c>
      <c r="H292" s="45" t="s">
        <v>69</v>
      </c>
      <c r="I292" s="299"/>
      <c r="J292" s="251">
        <v>1967592.5925925926</v>
      </c>
      <c r="K292" s="300">
        <v>5.0000000000000044E-2</v>
      </c>
      <c r="L292" s="311">
        <f t="shared" si="203"/>
        <v>1071552</v>
      </c>
      <c r="M292" s="299">
        <v>1</v>
      </c>
      <c r="N292" s="299" t="s">
        <v>686</v>
      </c>
      <c r="O292" s="250">
        <v>45500</v>
      </c>
      <c r="P292" s="316">
        <v>45626</v>
      </c>
      <c r="Q292" s="312">
        <v>4286208</v>
      </c>
      <c r="R292" s="317"/>
      <c r="S292" s="317"/>
      <c r="T292" s="312">
        <v>0</v>
      </c>
      <c r="U292" s="318">
        <v>4</v>
      </c>
      <c r="V292" s="312">
        <v>4283208</v>
      </c>
      <c r="W292" s="356">
        <v>1750000000</v>
      </c>
      <c r="X292" s="353">
        <v>-0.43899999999999995</v>
      </c>
      <c r="Y292" s="376"/>
      <c r="Z292" s="376" t="s">
        <v>376</v>
      </c>
      <c r="AA292" s="356">
        <v>981750000</v>
      </c>
      <c r="AB292" s="270" t="s">
        <v>243</v>
      </c>
      <c r="AC292" s="393" t="s">
        <v>373</v>
      </c>
      <c r="AD292" s="393" t="s">
        <v>361</v>
      </c>
      <c r="AE292" s="358" t="s">
        <v>244</v>
      </c>
      <c r="AF292" s="359" t="str">
        <f t="shared" si="204"/>
        <v>CLE-290</v>
      </c>
      <c r="AG292" s="270">
        <v>80111600</v>
      </c>
      <c r="AH292" s="310" t="s">
        <v>737</v>
      </c>
      <c r="AI292" s="301" t="s">
        <v>393</v>
      </c>
      <c r="AJ292" s="301" t="s">
        <v>393</v>
      </c>
      <c r="AK292" s="302">
        <v>4</v>
      </c>
      <c r="AL292" s="303" t="s">
        <v>241</v>
      </c>
      <c r="AM292" s="304" t="s">
        <v>242</v>
      </c>
      <c r="AN292" s="305">
        <v>4283208</v>
      </c>
      <c r="AO292" s="305">
        <v>4283208</v>
      </c>
      <c r="AP292" s="303" t="s">
        <v>244</v>
      </c>
      <c r="AQ292" s="303" t="s">
        <v>245</v>
      </c>
      <c r="AR292" s="360" t="s">
        <v>246</v>
      </c>
      <c r="AS292" s="306" t="s">
        <v>247</v>
      </c>
      <c r="AT292" s="307" t="s">
        <v>372</v>
      </c>
      <c r="AU292" s="308" t="s">
        <v>248</v>
      </c>
      <c r="AV292" s="361" t="s">
        <v>249</v>
      </c>
      <c r="AW292" s="303" t="s">
        <v>244</v>
      </c>
      <c r="AX292" s="303" t="s">
        <v>361</v>
      </c>
      <c r="AY292" s="394" t="s">
        <v>250</v>
      </c>
      <c r="AZ292" s="394" t="s">
        <v>251</v>
      </c>
      <c r="BA292" s="394" t="s">
        <v>252</v>
      </c>
      <c r="BB292" s="394" t="s">
        <v>250</v>
      </c>
      <c r="BC292" s="394"/>
      <c r="BD292" s="394"/>
    </row>
    <row r="293" spans="1:56" customFormat="1" ht="48" x14ac:dyDescent="0.25">
      <c r="A293" s="298">
        <v>291</v>
      </c>
      <c r="B293" s="299" t="s">
        <v>90</v>
      </c>
      <c r="C293" s="299" t="s">
        <v>78</v>
      </c>
      <c r="D293" s="299" t="s">
        <v>375</v>
      </c>
      <c r="E293" s="299"/>
      <c r="F293" s="350" t="s">
        <v>383</v>
      </c>
      <c r="G293" s="350" t="s">
        <v>374</v>
      </c>
      <c r="H293" s="45" t="s">
        <v>69</v>
      </c>
      <c r="I293" s="299"/>
      <c r="J293" s="251">
        <v>1967592.5925925926</v>
      </c>
      <c r="K293" s="300">
        <v>5.0000000000000044E-2</v>
      </c>
      <c r="L293" s="311">
        <f t="shared" si="203"/>
        <v>1071552</v>
      </c>
      <c r="M293" s="299">
        <v>1</v>
      </c>
      <c r="N293" s="299" t="s">
        <v>686</v>
      </c>
      <c r="O293" s="250">
        <v>45500</v>
      </c>
      <c r="P293" s="316">
        <v>45626</v>
      </c>
      <c r="Q293" s="312">
        <v>4286208</v>
      </c>
      <c r="R293" s="317"/>
      <c r="S293" s="317"/>
      <c r="T293" s="312">
        <v>0</v>
      </c>
      <c r="U293" s="318">
        <v>4</v>
      </c>
      <c r="V293" s="312">
        <v>4283208</v>
      </c>
      <c r="W293" s="356">
        <v>1750000000</v>
      </c>
      <c r="X293" s="353">
        <v>-0.43899999999999995</v>
      </c>
      <c r="Y293" s="376"/>
      <c r="Z293" s="376" t="s">
        <v>376</v>
      </c>
      <c r="AA293" s="356">
        <v>981750000</v>
      </c>
      <c r="AB293" s="270" t="s">
        <v>243</v>
      </c>
      <c r="AC293" s="393" t="s">
        <v>373</v>
      </c>
      <c r="AD293" s="393" t="s">
        <v>361</v>
      </c>
      <c r="AE293" s="358" t="s">
        <v>244</v>
      </c>
      <c r="AF293" s="359" t="str">
        <f t="shared" si="204"/>
        <v>CLE-291</v>
      </c>
      <c r="AG293" s="270">
        <v>80111600</v>
      </c>
      <c r="AH293" s="310" t="s">
        <v>737</v>
      </c>
      <c r="AI293" s="301" t="s">
        <v>393</v>
      </c>
      <c r="AJ293" s="301" t="s">
        <v>393</v>
      </c>
      <c r="AK293" s="302">
        <v>4</v>
      </c>
      <c r="AL293" s="303" t="s">
        <v>241</v>
      </c>
      <c r="AM293" s="304" t="s">
        <v>242</v>
      </c>
      <c r="AN293" s="305">
        <v>4283208</v>
      </c>
      <c r="AO293" s="305">
        <v>4283208</v>
      </c>
      <c r="AP293" s="303" t="s">
        <v>244</v>
      </c>
      <c r="AQ293" s="303" t="s">
        <v>245</v>
      </c>
      <c r="AR293" s="360" t="s">
        <v>246</v>
      </c>
      <c r="AS293" s="306" t="s">
        <v>247</v>
      </c>
      <c r="AT293" s="307" t="s">
        <v>372</v>
      </c>
      <c r="AU293" s="308" t="s">
        <v>248</v>
      </c>
      <c r="AV293" s="361" t="s">
        <v>249</v>
      </c>
      <c r="AW293" s="303" t="s">
        <v>244</v>
      </c>
      <c r="AX293" s="303" t="s">
        <v>361</v>
      </c>
      <c r="AY293" s="394" t="s">
        <v>250</v>
      </c>
      <c r="AZ293" s="394" t="s">
        <v>251</v>
      </c>
      <c r="BA293" s="394" t="s">
        <v>252</v>
      </c>
      <c r="BB293" s="394" t="s">
        <v>250</v>
      </c>
      <c r="BC293" s="394"/>
      <c r="BD293" s="394"/>
    </row>
    <row r="294" spans="1:56" customFormat="1" ht="48" x14ac:dyDescent="0.25">
      <c r="A294" s="298">
        <v>292</v>
      </c>
      <c r="B294" s="299" t="s">
        <v>90</v>
      </c>
      <c r="C294" s="299" t="s">
        <v>78</v>
      </c>
      <c r="D294" s="299" t="s">
        <v>375</v>
      </c>
      <c r="E294" s="299"/>
      <c r="F294" s="350" t="s">
        <v>383</v>
      </c>
      <c r="G294" s="350" t="s">
        <v>374</v>
      </c>
      <c r="H294" s="45" t="s">
        <v>69</v>
      </c>
      <c r="I294" s="299"/>
      <c r="J294" s="251">
        <v>1967592.5925925926</v>
      </c>
      <c r="K294" s="300">
        <v>5.0000000000000044E-2</v>
      </c>
      <c r="L294" s="311">
        <f t="shared" si="203"/>
        <v>1071552</v>
      </c>
      <c r="M294" s="299">
        <v>1</v>
      </c>
      <c r="N294" s="299" t="s">
        <v>686</v>
      </c>
      <c r="O294" s="250">
        <v>45500</v>
      </c>
      <c r="P294" s="316">
        <v>45626</v>
      </c>
      <c r="Q294" s="312">
        <v>4286208</v>
      </c>
      <c r="R294" s="317"/>
      <c r="S294" s="317"/>
      <c r="T294" s="312">
        <v>0</v>
      </c>
      <c r="U294" s="318">
        <v>4</v>
      </c>
      <c r="V294" s="312">
        <v>4283208</v>
      </c>
      <c r="W294" s="356">
        <v>1750000000</v>
      </c>
      <c r="X294" s="353">
        <v>-0.43899999999999995</v>
      </c>
      <c r="Y294" s="376"/>
      <c r="Z294" s="376" t="s">
        <v>376</v>
      </c>
      <c r="AA294" s="356">
        <v>981750000</v>
      </c>
      <c r="AB294" s="270" t="s">
        <v>243</v>
      </c>
      <c r="AC294" s="393" t="s">
        <v>373</v>
      </c>
      <c r="AD294" s="393" t="s">
        <v>361</v>
      </c>
      <c r="AE294" s="358" t="s">
        <v>244</v>
      </c>
      <c r="AF294" s="359" t="str">
        <f t="shared" si="204"/>
        <v>CLE-292</v>
      </c>
      <c r="AG294" s="270">
        <v>80111600</v>
      </c>
      <c r="AH294" s="310" t="s">
        <v>737</v>
      </c>
      <c r="AI294" s="301" t="s">
        <v>393</v>
      </c>
      <c r="AJ294" s="301" t="s">
        <v>393</v>
      </c>
      <c r="AK294" s="302">
        <v>4</v>
      </c>
      <c r="AL294" s="303" t="s">
        <v>241</v>
      </c>
      <c r="AM294" s="304" t="s">
        <v>242</v>
      </c>
      <c r="AN294" s="305">
        <v>4283208</v>
      </c>
      <c r="AO294" s="305">
        <v>4283208</v>
      </c>
      <c r="AP294" s="303" t="s">
        <v>244</v>
      </c>
      <c r="AQ294" s="303" t="s">
        <v>245</v>
      </c>
      <c r="AR294" s="360" t="s">
        <v>246</v>
      </c>
      <c r="AS294" s="306" t="s">
        <v>247</v>
      </c>
      <c r="AT294" s="307" t="s">
        <v>372</v>
      </c>
      <c r="AU294" s="308" t="s">
        <v>248</v>
      </c>
      <c r="AV294" s="361" t="s">
        <v>249</v>
      </c>
      <c r="AW294" s="303" t="s">
        <v>244</v>
      </c>
      <c r="AX294" s="303" t="s">
        <v>361</v>
      </c>
      <c r="AY294" s="394" t="s">
        <v>250</v>
      </c>
      <c r="AZ294" s="394" t="s">
        <v>251</v>
      </c>
      <c r="BA294" s="394" t="s">
        <v>252</v>
      </c>
      <c r="BB294" s="394" t="s">
        <v>250</v>
      </c>
      <c r="BC294" s="394"/>
      <c r="BD294" s="394"/>
    </row>
    <row r="295" spans="1:56" customFormat="1" ht="48" x14ac:dyDescent="0.25">
      <c r="A295" s="298">
        <v>293</v>
      </c>
      <c r="B295" s="299" t="s">
        <v>90</v>
      </c>
      <c r="C295" s="299" t="s">
        <v>78</v>
      </c>
      <c r="D295" s="299" t="s">
        <v>375</v>
      </c>
      <c r="E295" s="299"/>
      <c r="F295" s="350" t="s">
        <v>383</v>
      </c>
      <c r="G295" s="350" t="s">
        <v>374</v>
      </c>
      <c r="H295" s="45" t="s">
        <v>69</v>
      </c>
      <c r="I295" s="299"/>
      <c r="J295" s="251">
        <v>1967592.5925925926</v>
      </c>
      <c r="K295" s="300">
        <v>5.0000000000000044E-2</v>
      </c>
      <c r="L295" s="311">
        <f t="shared" si="203"/>
        <v>1071552</v>
      </c>
      <c r="M295" s="299">
        <v>1</v>
      </c>
      <c r="N295" s="299" t="s">
        <v>686</v>
      </c>
      <c r="O295" s="250">
        <v>45500</v>
      </c>
      <c r="P295" s="316">
        <v>45626</v>
      </c>
      <c r="Q295" s="312">
        <v>4286208</v>
      </c>
      <c r="R295" s="317"/>
      <c r="S295" s="317"/>
      <c r="T295" s="312">
        <v>0</v>
      </c>
      <c r="U295" s="318">
        <v>4</v>
      </c>
      <c r="V295" s="312">
        <v>4283208</v>
      </c>
      <c r="W295" s="356">
        <v>1750000000</v>
      </c>
      <c r="X295" s="353">
        <v>-0.43899999999999995</v>
      </c>
      <c r="Y295" s="376"/>
      <c r="Z295" s="376" t="s">
        <v>376</v>
      </c>
      <c r="AA295" s="356">
        <v>981750000</v>
      </c>
      <c r="AB295" s="270" t="s">
        <v>243</v>
      </c>
      <c r="AC295" s="393" t="s">
        <v>373</v>
      </c>
      <c r="AD295" s="393" t="s">
        <v>361</v>
      </c>
      <c r="AE295" s="358" t="s">
        <v>244</v>
      </c>
      <c r="AF295" s="359" t="str">
        <f t="shared" si="204"/>
        <v>CLE-293</v>
      </c>
      <c r="AG295" s="270">
        <v>80111600</v>
      </c>
      <c r="AH295" s="310" t="s">
        <v>737</v>
      </c>
      <c r="AI295" s="301" t="s">
        <v>393</v>
      </c>
      <c r="AJ295" s="301" t="s">
        <v>393</v>
      </c>
      <c r="AK295" s="302">
        <v>4</v>
      </c>
      <c r="AL295" s="303" t="s">
        <v>241</v>
      </c>
      <c r="AM295" s="304" t="s">
        <v>242</v>
      </c>
      <c r="AN295" s="305">
        <v>4283208</v>
      </c>
      <c r="AO295" s="305">
        <v>4283208</v>
      </c>
      <c r="AP295" s="303" t="s">
        <v>244</v>
      </c>
      <c r="AQ295" s="303" t="s">
        <v>245</v>
      </c>
      <c r="AR295" s="360" t="s">
        <v>246</v>
      </c>
      <c r="AS295" s="306" t="s">
        <v>247</v>
      </c>
      <c r="AT295" s="307" t="s">
        <v>372</v>
      </c>
      <c r="AU295" s="308" t="s">
        <v>248</v>
      </c>
      <c r="AV295" s="361" t="s">
        <v>249</v>
      </c>
      <c r="AW295" s="303" t="s">
        <v>244</v>
      </c>
      <c r="AX295" s="303" t="s">
        <v>361</v>
      </c>
      <c r="AY295" s="394" t="s">
        <v>250</v>
      </c>
      <c r="AZ295" s="394" t="s">
        <v>251</v>
      </c>
      <c r="BA295" s="394" t="s">
        <v>252</v>
      </c>
      <c r="BB295" s="394" t="s">
        <v>250</v>
      </c>
      <c r="BC295" s="394"/>
      <c r="BD295" s="394"/>
    </row>
    <row r="296" spans="1:56" customFormat="1" ht="48" x14ac:dyDescent="0.25">
      <c r="A296" s="298">
        <v>294</v>
      </c>
      <c r="B296" s="299" t="s">
        <v>90</v>
      </c>
      <c r="C296" s="299" t="s">
        <v>78</v>
      </c>
      <c r="D296" s="299" t="s">
        <v>375</v>
      </c>
      <c r="E296" s="299"/>
      <c r="F296" s="350" t="s">
        <v>383</v>
      </c>
      <c r="G296" s="350" t="s">
        <v>374</v>
      </c>
      <c r="H296" s="45" t="s">
        <v>69</v>
      </c>
      <c r="I296" s="299"/>
      <c r="J296" s="251">
        <v>1967592.5925925926</v>
      </c>
      <c r="K296" s="300">
        <v>5.0000000000000044E-2</v>
      </c>
      <c r="L296" s="311">
        <f t="shared" si="203"/>
        <v>1071552</v>
      </c>
      <c r="M296" s="299">
        <v>1</v>
      </c>
      <c r="N296" s="299" t="s">
        <v>686</v>
      </c>
      <c r="O296" s="250">
        <v>45500</v>
      </c>
      <c r="P296" s="316">
        <v>45626</v>
      </c>
      <c r="Q296" s="312">
        <v>4286208</v>
      </c>
      <c r="R296" s="317"/>
      <c r="S296" s="317"/>
      <c r="T296" s="312">
        <v>0</v>
      </c>
      <c r="U296" s="318">
        <v>4</v>
      </c>
      <c r="V296" s="312">
        <v>4283208</v>
      </c>
      <c r="W296" s="356">
        <v>1750000000</v>
      </c>
      <c r="X296" s="353">
        <v>-0.43899999999999995</v>
      </c>
      <c r="Y296" s="376"/>
      <c r="Z296" s="376" t="s">
        <v>376</v>
      </c>
      <c r="AA296" s="356">
        <v>981750000</v>
      </c>
      <c r="AB296" s="270" t="s">
        <v>243</v>
      </c>
      <c r="AC296" s="393" t="s">
        <v>373</v>
      </c>
      <c r="AD296" s="393" t="s">
        <v>361</v>
      </c>
      <c r="AE296" s="358" t="s">
        <v>244</v>
      </c>
      <c r="AF296" s="359" t="str">
        <f t="shared" si="204"/>
        <v>CLE-294</v>
      </c>
      <c r="AG296" s="270">
        <v>80111600</v>
      </c>
      <c r="AH296" s="310" t="s">
        <v>737</v>
      </c>
      <c r="AI296" s="301" t="s">
        <v>393</v>
      </c>
      <c r="AJ296" s="301" t="s">
        <v>393</v>
      </c>
      <c r="AK296" s="302">
        <v>4</v>
      </c>
      <c r="AL296" s="303" t="s">
        <v>241</v>
      </c>
      <c r="AM296" s="304" t="s">
        <v>242</v>
      </c>
      <c r="AN296" s="305">
        <v>4283208</v>
      </c>
      <c r="AO296" s="305">
        <v>4283208</v>
      </c>
      <c r="AP296" s="303" t="s">
        <v>244</v>
      </c>
      <c r="AQ296" s="303" t="s">
        <v>245</v>
      </c>
      <c r="AR296" s="360" t="s">
        <v>246</v>
      </c>
      <c r="AS296" s="306" t="s">
        <v>247</v>
      </c>
      <c r="AT296" s="307" t="s">
        <v>372</v>
      </c>
      <c r="AU296" s="308" t="s">
        <v>248</v>
      </c>
      <c r="AV296" s="361" t="s">
        <v>249</v>
      </c>
      <c r="AW296" s="303" t="s">
        <v>244</v>
      </c>
      <c r="AX296" s="303" t="s">
        <v>361</v>
      </c>
      <c r="AY296" s="394" t="s">
        <v>250</v>
      </c>
      <c r="AZ296" s="394" t="s">
        <v>251</v>
      </c>
      <c r="BA296" s="394" t="s">
        <v>252</v>
      </c>
      <c r="BB296" s="394" t="s">
        <v>250</v>
      </c>
      <c r="BC296" s="394"/>
      <c r="BD296" s="394"/>
    </row>
    <row r="297" spans="1:56" customFormat="1" ht="48" x14ac:dyDescent="0.25">
      <c r="A297" s="298">
        <v>295</v>
      </c>
      <c r="B297" s="299" t="s">
        <v>90</v>
      </c>
      <c r="C297" s="299" t="s">
        <v>78</v>
      </c>
      <c r="D297" s="299" t="s">
        <v>375</v>
      </c>
      <c r="E297" s="299"/>
      <c r="F297" s="350" t="s">
        <v>383</v>
      </c>
      <c r="G297" s="350" t="s">
        <v>374</v>
      </c>
      <c r="H297" s="45" t="s">
        <v>69</v>
      </c>
      <c r="I297" s="299"/>
      <c r="J297" s="251">
        <v>1967592.5925925926</v>
      </c>
      <c r="K297" s="300">
        <v>5.0000000000000044E-2</v>
      </c>
      <c r="L297" s="311">
        <f t="shared" si="203"/>
        <v>1071552</v>
      </c>
      <c r="M297" s="299">
        <v>1</v>
      </c>
      <c r="N297" s="299" t="s">
        <v>686</v>
      </c>
      <c r="O297" s="250">
        <v>45500</v>
      </c>
      <c r="P297" s="316">
        <v>45626</v>
      </c>
      <c r="Q297" s="312">
        <v>4286208</v>
      </c>
      <c r="R297" s="317"/>
      <c r="S297" s="317"/>
      <c r="T297" s="312">
        <v>0</v>
      </c>
      <c r="U297" s="318">
        <v>4</v>
      </c>
      <c r="V297" s="312">
        <v>4283208</v>
      </c>
      <c r="W297" s="356">
        <v>1750000000</v>
      </c>
      <c r="X297" s="353">
        <v>-0.43899999999999995</v>
      </c>
      <c r="Y297" s="376"/>
      <c r="Z297" s="376" t="s">
        <v>376</v>
      </c>
      <c r="AA297" s="356">
        <v>981750000</v>
      </c>
      <c r="AB297" s="270" t="s">
        <v>243</v>
      </c>
      <c r="AC297" s="393" t="s">
        <v>373</v>
      </c>
      <c r="AD297" s="393" t="s">
        <v>361</v>
      </c>
      <c r="AE297" s="358" t="s">
        <v>244</v>
      </c>
      <c r="AF297" s="359" t="str">
        <f t="shared" si="204"/>
        <v>CLE-295</v>
      </c>
      <c r="AG297" s="270">
        <v>80111600</v>
      </c>
      <c r="AH297" s="310" t="s">
        <v>737</v>
      </c>
      <c r="AI297" s="301" t="s">
        <v>393</v>
      </c>
      <c r="AJ297" s="301" t="s">
        <v>393</v>
      </c>
      <c r="AK297" s="302">
        <v>4</v>
      </c>
      <c r="AL297" s="303" t="s">
        <v>241</v>
      </c>
      <c r="AM297" s="304" t="s">
        <v>242</v>
      </c>
      <c r="AN297" s="305">
        <v>4283208</v>
      </c>
      <c r="AO297" s="305">
        <v>4283208</v>
      </c>
      <c r="AP297" s="303" t="s">
        <v>244</v>
      </c>
      <c r="AQ297" s="303" t="s">
        <v>245</v>
      </c>
      <c r="AR297" s="360" t="s">
        <v>246</v>
      </c>
      <c r="AS297" s="306" t="s">
        <v>247</v>
      </c>
      <c r="AT297" s="307" t="s">
        <v>372</v>
      </c>
      <c r="AU297" s="308" t="s">
        <v>248</v>
      </c>
      <c r="AV297" s="361" t="s">
        <v>249</v>
      </c>
      <c r="AW297" s="303" t="s">
        <v>244</v>
      </c>
      <c r="AX297" s="303" t="s">
        <v>361</v>
      </c>
      <c r="AY297" s="394" t="s">
        <v>250</v>
      </c>
      <c r="AZ297" s="394" t="s">
        <v>251</v>
      </c>
      <c r="BA297" s="394" t="s">
        <v>252</v>
      </c>
      <c r="BB297" s="394" t="s">
        <v>250</v>
      </c>
      <c r="BC297" s="394"/>
      <c r="BD297" s="394"/>
    </row>
    <row r="298" spans="1:56" customFormat="1" ht="48" x14ac:dyDescent="0.25">
      <c r="A298" s="298">
        <v>296</v>
      </c>
      <c r="B298" s="299" t="s">
        <v>90</v>
      </c>
      <c r="C298" s="299" t="s">
        <v>78</v>
      </c>
      <c r="D298" s="299" t="s">
        <v>375</v>
      </c>
      <c r="E298" s="299"/>
      <c r="F298" s="350" t="s">
        <v>383</v>
      </c>
      <c r="G298" s="350" t="s">
        <v>374</v>
      </c>
      <c r="H298" s="45" t="s">
        <v>69</v>
      </c>
      <c r="I298" s="299"/>
      <c r="J298" s="251">
        <v>1967592.5925925926</v>
      </c>
      <c r="K298" s="300">
        <v>5.0000000000000044E-2</v>
      </c>
      <c r="L298" s="311">
        <f t="shared" si="203"/>
        <v>1071552</v>
      </c>
      <c r="M298" s="299">
        <v>1</v>
      </c>
      <c r="N298" s="299" t="s">
        <v>686</v>
      </c>
      <c r="O298" s="250">
        <v>45500</v>
      </c>
      <c r="P298" s="316">
        <v>45626</v>
      </c>
      <c r="Q298" s="312">
        <v>4286208</v>
      </c>
      <c r="R298" s="317"/>
      <c r="S298" s="317"/>
      <c r="T298" s="312">
        <v>0</v>
      </c>
      <c r="U298" s="318">
        <v>4</v>
      </c>
      <c r="V298" s="312">
        <v>4283208</v>
      </c>
      <c r="W298" s="356">
        <v>1750000000</v>
      </c>
      <c r="X298" s="353">
        <v>-0.43899999999999995</v>
      </c>
      <c r="Y298" s="376"/>
      <c r="Z298" s="376" t="s">
        <v>376</v>
      </c>
      <c r="AA298" s="356">
        <v>981750000</v>
      </c>
      <c r="AB298" s="270" t="s">
        <v>243</v>
      </c>
      <c r="AC298" s="393" t="s">
        <v>373</v>
      </c>
      <c r="AD298" s="393" t="s">
        <v>361</v>
      </c>
      <c r="AE298" s="358" t="s">
        <v>244</v>
      </c>
      <c r="AF298" s="359" t="str">
        <f t="shared" si="204"/>
        <v>CLE-296</v>
      </c>
      <c r="AG298" s="270">
        <v>80111600</v>
      </c>
      <c r="AH298" s="310" t="s">
        <v>737</v>
      </c>
      <c r="AI298" s="301" t="s">
        <v>393</v>
      </c>
      <c r="AJ298" s="301" t="s">
        <v>393</v>
      </c>
      <c r="AK298" s="302">
        <v>4</v>
      </c>
      <c r="AL298" s="303" t="s">
        <v>241</v>
      </c>
      <c r="AM298" s="304" t="s">
        <v>242</v>
      </c>
      <c r="AN298" s="305">
        <v>4283208</v>
      </c>
      <c r="AO298" s="305">
        <v>4283208</v>
      </c>
      <c r="AP298" s="303" t="s">
        <v>244</v>
      </c>
      <c r="AQ298" s="303" t="s">
        <v>245</v>
      </c>
      <c r="AR298" s="360" t="s">
        <v>246</v>
      </c>
      <c r="AS298" s="306" t="s">
        <v>247</v>
      </c>
      <c r="AT298" s="307" t="s">
        <v>372</v>
      </c>
      <c r="AU298" s="308" t="s">
        <v>248</v>
      </c>
      <c r="AV298" s="361" t="s">
        <v>249</v>
      </c>
      <c r="AW298" s="303" t="s">
        <v>244</v>
      </c>
      <c r="AX298" s="303" t="s">
        <v>361</v>
      </c>
      <c r="AY298" s="394" t="s">
        <v>250</v>
      </c>
      <c r="AZ298" s="394" t="s">
        <v>251</v>
      </c>
      <c r="BA298" s="394" t="s">
        <v>252</v>
      </c>
      <c r="BB298" s="394" t="s">
        <v>250</v>
      </c>
      <c r="BC298" s="394"/>
      <c r="BD298" s="394"/>
    </row>
    <row r="299" spans="1:56" customFormat="1" ht="48" x14ac:dyDescent="0.25">
      <c r="A299" s="298">
        <v>297</v>
      </c>
      <c r="B299" s="299" t="s">
        <v>90</v>
      </c>
      <c r="C299" s="299" t="s">
        <v>78</v>
      </c>
      <c r="D299" s="299" t="s">
        <v>375</v>
      </c>
      <c r="E299" s="299"/>
      <c r="F299" s="350" t="s">
        <v>383</v>
      </c>
      <c r="G299" s="350" t="s">
        <v>374</v>
      </c>
      <c r="H299" s="45" t="s">
        <v>69</v>
      </c>
      <c r="I299" s="299"/>
      <c r="J299" s="251">
        <v>1967592.5925925926</v>
      </c>
      <c r="K299" s="300">
        <v>5.0000000000000044E-2</v>
      </c>
      <c r="L299" s="311">
        <f t="shared" si="203"/>
        <v>1071552</v>
      </c>
      <c r="M299" s="299">
        <v>1</v>
      </c>
      <c r="N299" s="299" t="s">
        <v>686</v>
      </c>
      <c r="O299" s="250">
        <v>45500</v>
      </c>
      <c r="P299" s="316">
        <v>45626</v>
      </c>
      <c r="Q299" s="312">
        <v>4286208</v>
      </c>
      <c r="R299" s="317"/>
      <c r="S299" s="317"/>
      <c r="T299" s="312">
        <v>0</v>
      </c>
      <c r="U299" s="318">
        <v>4</v>
      </c>
      <c r="V299" s="312">
        <v>4283208</v>
      </c>
      <c r="W299" s="356">
        <v>1750000000</v>
      </c>
      <c r="X299" s="353">
        <v>-0.43899999999999995</v>
      </c>
      <c r="Y299" s="376"/>
      <c r="Z299" s="376" t="s">
        <v>376</v>
      </c>
      <c r="AA299" s="356">
        <v>981750000</v>
      </c>
      <c r="AB299" s="270" t="s">
        <v>243</v>
      </c>
      <c r="AC299" s="393" t="s">
        <v>373</v>
      </c>
      <c r="AD299" s="393" t="s">
        <v>361</v>
      </c>
      <c r="AE299" s="358" t="s">
        <v>244</v>
      </c>
      <c r="AF299" s="359" t="str">
        <f t="shared" si="204"/>
        <v>CLE-297</v>
      </c>
      <c r="AG299" s="270">
        <v>80111600</v>
      </c>
      <c r="AH299" s="310" t="s">
        <v>737</v>
      </c>
      <c r="AI299" s="301" t="s">
        <v>393</v>
      </c>
      <c r="AJ299" s="301" t="s">
        <v>393</v>
      </c>
      <c r="AK299" s="302">
        <v>4</v>
      </c>
      <c r="AL299" s="303" t="s">
        <v>241</v>
      </c>
      <c r="AM299" s="304" t="s">
        <v>242</v>
      </c>
      <c r="AN299" s="305">
        <v>4283208</v>
      </c>
      <c r="AO299" s="305">
        <v>4283208</v>
      </c>
      <c r="AP299" s="303" t="s">
        <v>244</v>
      </c>
      <c r="AQ299" s="303" t="s">
        <v>245</v>
      </c>
      <c r="AR299" s="360" t="s">
        <v>246</v>
      </c>
      <c r="AS299" s="306" t="s">
        <v>247</v>
      </c>
      <c r="AT299" s="307" t="s">
        <v>372</v>
      </c>
      <c r="AU299" s="308" t="s">
        <v>248</v>
      </c>
      <c r="AV299" s="361" t="s">
        <v>249</v>
      </c>
      <c r="AW299" s="303" t="s">
        <v>244</v>
      </c>
      <c r="AX299" s="303" t="s">
        <v>361</v>
      </c>
      <c r="AY299" s="394" t="s">
        <v>250</v>
      </c>
      <c r="AZ299" s="394" t="s">
        <v>251</v>
      </c>
      <c r="BA299" s="394" t="s">
        <v>252</v>
      </c>
      <c r="BB299" s="394" t="s">
        <v>250</v>
      </c>
      <c r="BC299" s="394"/>
      <c r="BD299" s="394"/>
    </row>
    <row r="300" spans="1:56" customFormat="1" ht="48" x14ac:dyDescent="0.25">
      <c r="A300" s="298">
        <v>298</v>
      </c>
      <c r="B300" s="299" t="s">
        <v>90</v>
      </c>
      <c r="C300" s="299" t="s">
        <v>78</v>
      </c>
      <c r="D300" s="299" t="s">
        <v>375</v>
      </c>
      <c r="E300" s="299"/>
      <c r="F300" s="350" t="s">
        <v>383</v>
      </c>
      <c r="G300" s="350" t="s">
        <v>374</v>
      </c>
      <c r="H300" s="45" t="s">
        <v>69</v>
      </c>
      <c r="I300" s="299"/>
      <c r="J300" s="251">
        <v>1967592.5925925926</v>
      </c>
      <c r="K300" s="300">
        <v>5.0000000000000044E-2</v>
      </c>
      <c r="L300" s="311">
        <f t="shared" si="203"/>
        <v>1071552</v>
      </c>
      <c r="M300" s="299">
        <v>1</v>
      </c>
      <c r="N300" s="299" t="s">
        <v>686</v>
      </c>
      <c r="O300" s="250">
        <v>45500</v>
      </c>
      <c r="P300" s="316">
        <v>45626</v>
      </c>
      <c r="Q300" s="312">
        <v>4286208</v>
      </c>
      <c r="R300" s="317"/>
      <c r="S300" s="317"/>
      <c r="T300" s="312">
        <v>0</v>
      </c>
      <c r="U300" s="318">
        <v>4</v>
      </c>
      <c r="V300" s="312">
        <v>4283208</v>
      </c>
      <c r="W300" s="356">
        <v>1750000000</v>
      </c>
      <c r="X300" s="353">
        <v>-0.43899999999999995</v>
      </c>
      <c r="Y300" s="376"/>
      <c r="Z300" s="376" t="s">
        <v>376</v>
      </c>
      <c r="AA300" s="356">
        <v>981750000</v>
      </c>
      <c r="AB300" s="270" t="s">
        <v>243</v>
      </c>
      <c r="AC300" s="393" t="s">
        <v>373</v>
      </c>
      <c r="AD300" s="393" t="s">
        <v>361</v>
      </c>
      <c r="AE300" s="358" t="s">
        <v>244</v>
      </c>
      <c r="AF300" s="359" t="str">
        <f t="shared" si="204"/>
        <v>CLE-298</v>
      </c>
      <c r="AG300" s="270">
        <v>80111600</v>
      </c>
      <c r="AH300" s="310" t="s">
        <v>737</v>
      </c>
      <c r="AI300" s="301" t="s">
        <v>393</v>
      </c>
      <c r="AJ300" s="301" t="s">
        <v>393</v>
      </c>
      <c r="AK300" s="302">
        <v>4</v>
      </c>
      <c r="AL300" s="303" t="s">
        <v>241</v>
      </c>
      <c r="AM300" s="304" t="s">
        <v>242</v>
      </c>
      <c r="AN300" s="305">
        <v>4283208</v>
      </c>
      <c r="AO300" s="305">
        <v>4283208</v>
      </c>
      <c r="AP300" s="303" t="s">
        <v>244</v>
      </c>
      <c r="AQ300" s="303" t="s">
        <v>245</v>
      </c>
      <c r="AR300" s="360" t="s">
        <v>246</v>
      </c>
      <c r="AS300" s="306" t="s">
        <v>247</v>
      </c>
      <c r="AT300" s="307" t="s">
        <v>372</v>
      </c>
      <c r="AU300" s="308" t="s">
        <v>248</v>
      </c>
      <c r="AV300" s="361" t="s">
        <v>249</v>
      </c>
      <c r="AW300" s="303" t="s">
        <v>244</v>
      </c>
      <c r="AX300" s="303" t="s">
        <v>361</v>
      </c>
      <c r="AY300" s="394" t="s">
        <v>250</v>
      </c>
      <c r="AZ300" s="394" t="s">
        <v>251</v>
      </c>
      <c r="BA300" s="394" t="s">
        <v>252</v>
      </c>
      <c r="BB300" s="394" t="s">
        <v>250</v>
      </c>
      <c r="BC300" s="394"/>
      <c r="BD300" s="394"/>
    </row>
    <row r="301" spans="1:56" customFormat="1" ht="48" x14ac:dyDescent="0.25">
      <c r="A301" s="298">
        <v>299</v>
      </c>
      <c r="B301" s="299" t="s">
        <v>90</v>
      </c>
      <c r="C301" s="299" t="s">
        <v>78</v>
      </c>
      <c r="D301" s="299" t="s">
        <v>375</v>
      </c>
      <c r="E301" s="299"/>
      <c r="F301" s="350" t="s">
        <v>383</v>
      </c>
      <c r="G301" s="350" t="s">
        <v>374</v>
      </c>
      <c r="H301" s="45" t="s">
        <v>67</v>
      </c>
      <c r="I301" s="299"/>
      <c r="J301" s="251">
        <v>1967592.5925925926</v>
      </c>
      <c r="K301" s="300">
        <v>5.0000000000000044E-2</v>
      </c>
      <c r="L301" s="311">
        <f t="shared" si="203"/>
        <v>1269849</v>
      </c>
      <c r="M301" s="299">
        <v>1</v>
      </c>
      <c r="N301" s="299" t="s">
        <v>686</v>
      </c>
      <c r="O301" s="250">
        <v>45500</v>
      </c>
      <c r="P301" s="316">
        <v>45626</v>
      </c>
      <c r="Q301" s="312">
        <v>5079396</v>
      </c>
      <c r="R301" s="317"/>
      <c r="S301" s="317"/>
      <c r="T301" s="312">
        <v>0</v>
      </c>
      <c r="U301" s="318">
        <v>4</v>
      </c>
      <c r="V301" s="312">
        <v>5079396</v>
      </c>
      <c r="W301" s="356">
        <v>1750000000</v>
      </c>
      <c r="X301" s="353">
        <v>-0.43899999999999995</v>
      </c>
      <c r="Y301" s="376"/>
      <c r="Z301" s="376" t="s">
        <v>376</v>
      </c>
      <c r="AA301" s="356">
        <v>981750000</v>
      </c>
      <c r="AB301" s="270" t="s">
        <v>243</v>
      </c>
      <c r="AC301" s="393" t="s">
        <v>373</v>
      </c>
      <c r="AD301" s="393" t="s">
        <v>361</v>
      </c>
      <c r="AE301" s="358" t="s">
        <v>244</v>
      </c>
      <c r="AF301" s="359" t="str">
        <f t="shared" si="204"/>
        <v>CLE-299</v>
      </c>
      <c r="AG301" s="270">
        <v>80111600</v>
      </c>
      <c r="AH301" s="310" t="s">
        <v>737</v>
      </c>
      <c r="AI301" s="301" t="s">
        <v>393</v>
      </c>
      <c r="AJ301" s="301" t="s">
        <v>393</v>
      </c>
      <c r="AK301" s="302">
        <v>4</v>
      </c>
      <c r="AL301" s="303" t="s">
        <v>241</v>
      </c>
      <c r="AM301" s="304" t="s">
        <v>242</v>
      </c>
      <c r="AN301" s="305">
        <v>5079398</v>
      </c>
      <c r="AO301" s="305">
        <v>5079398</v>
      </c>
      <c r="AP301" s="303" t="s">
        <v>244</v>
      </c>
      <c r="AQ301" s="303" t="s">
        <v>245</v>
      </c>
      <c r="AR301" s="360" t="s">
        <v>246</v>
      </c>
      <c r="AS301" s="306" t="s">
        <v>247</v>
      </c>
      <c r="AT301" s="307" t="s">
        <v>372</v>
      </c>
      <c r="AU301" s="308" t="s">
        <v>248</v>
      </c>
      <c r="AV301" s="361" t="s">
        <v>249</v>
      </c>
      <c r="AW301" s="303" t="s">
        <v>244</v>
      </c>
      <c r="AX301" s="303" t="s">
        <v>361</v>
      </c>
      <c r="AY301" s="394" t="s">
        <v>250</v>
      </c>
      <c r="AZ301" s="394" t="s">
        <v>251</v>
      </c>
      <c r="BA301" s="394" t="s">
        <v>252</v>
      </c>
      <c r="BB301" s="394" t="s">
        <v>250</v>
      </c>
      <c r="BC301" s="394"/>
      <c r="BD301" s="394"/>
    </row>
    <row r="302" spans="1:56" customFormat="1" ht="48" x14ac:dyDescent="0.25">
      <c r="A302" s="298">
        <v>300</v>
      </c>
      <c r="B302" s="299" t="s">
        <v>90</v>
      </c>
      <c r="C302" s="299" t="s">
        <v>78</v>
      </c>
      <c r="D302" s="299" t="s">
        <v>375</v>
      </c>
      <c r="E302" s="299"/>
      <c r="F302" s="350" t="s">
        <v>383</v>
      </c>
      <c r="G302" s="350" t="s">
        <v>374</v>
      </c>
      <c r="H302" s="45" t="s">
        <v>67</v>
      </c>
      <c r="I302" s="299"/>
      <c r="J302" s="251">
        <v>1967592.5925925926</v>
      </c>
      <c r="K302" s="300">
        <v>5.0000000000000044E-2</v>
      </c>
      <c r="L302" s="311">
        <f t="shared" si="203"/>
        <v>1269849</v>
      </c>
      <c r="M302" s="299">
        <v>1</v>
      </c>
      <c r="N302" s="299" t="s">
        <v>686</v>
      </c>
      <c r="O302" s="250">
        <v>45500</v>
      </c>
      <c r="P302" s="316">
        <v>45626</v>
      </c>
      <c r="Q302" s="312">
        <v>5079396</v>
      </c>
      <c r="R302" s="317"/>
      <c r="S302" s="317"/>
      <c r="T302" s="312">
        <v>0</v>
      </c>
      <c r="U302" s="318">
        <v>4</v>
      </c>
      <c r="V302" s="312">
        <v>5079396</v>
      </c>
      <c r="W302" s="356">
        <v>1750000000</v>
      </c>
      <c r="X302" s="353">
        <v>-0.43899999999999995</v>
      </c>
      <c r="Y302" s="376"/>
      <c r="Z302" s="376" t="s">
        <v>376</v>
      </c>
      <c r="AA302" s="356">
        <v>981750000</v>
      </c>
      <c r="AB302" s="270" t="s">
        <v>243</v>
      </c>
      <c r="AC302" s="393" t="s">
        <v>373</v>
      </c>
      <c r="AD302" s="393" t="s">
        <v>361</v>
      </c>
      <c r="AE302" s="358" t="s">
        <v>244</v>
      </c>
      <c r="AF302" s="359" t="str">
        <f t="shared" si="204"/>
        <v>CLE-300</v>
      </c>
      <c r="AG302" s="270">
        <v>80111600</v>
      </c>
      <c r="AH302" s="310" t="s">
        <v>737</v>
      </c>
      <c r="AI302" s="301" t="s">
        <v>393</v>
      </c>
      <c r="AJ302" s="301" t="s">
        <v>393</v>
      </c>
      <c r="AK302" s="302">
        <v>4</v>
      </c>
      <c r="AL302" s="303" t="s">
        <v>241</v>
      </c>
      <c r="AM302" s="304" t="s">
        <v>242</v>
      </c>
      <c r="AN302" s="305">
        <v>5079398</v>
      </c>
      <c r="AO302" s="305">
        <v>5079398</v>
      </c>
      <c r="AP302" s="303" t="s">
        <v>244</v>
      </c>
      <c r="AQ302" s="303" t="s">
        <v>245</v>
      </c>
      <c r="AR302" s="360" t="s">
        <v>246</v>
      </c>
      <c r="AS302" s="306" t="s">
        <v>247</v>
      </c>
      <c r="AT302" s="307" t="s">
        <v>372</v>
      </c>
      <c r="AU302" s="308" t="s">
        <v>248</v>
      </c>
      <c r="AV302" s="361" t="s">
        <v>249</v>
      </c>
      <c r="AW302" s="303" t="s">
        <v>244</v>
      </c>
      <c r="AX302" s="303" t="s">
        <v>361</v>
      </c>
      <c r="AY302" s="394" t="s">
        <v>250</v>
      </c>
      <c r="AZ302" s="394" t="s">
        <v>251</v>
      </c>
      <c r="BA302" s="394" t="s">
        <v>252</v>
      </c>
      <c r="BB302" s="394" t="s">
        <v>250</v>
      </c>
      <c r="BC302" s="394"/>
      <c r="BD302" s="394"/>
    </row>
    <row r="303" spans="1:56" customFormat="1" ht="48" x14ac:dyDescent="0.25">
      <c r="A303" s="298">
        <v>301</v>
      </c>
      <c r="B303" s="299" t="s">
        <v>90</v>
      </c>
      <c r="C303" s="299" t="s">
        <v>78</v>
      </c>
      <c r="D303" s="299" t="s">
        <v>375</v>
      </c>
      <c r="E303" s="299"/>
      <c r="F303" s="350" t="s">
        <v>383</v>
      </c>
      <c r="G303" s="350" t="s">
        <v>374</v>
      </c>
      <c r="H303" s="45" t="s">
        <v>67</v>
      </c>
      <c r="I303" s="299"/>
      <c r="J303" s="251">
        <v>1967592.5925925926</v>
      </c>
      <c r="K303" s="300">
        <v>5.0000000000000044E-2</v>
      </c>
      <c r="L303" s="311">
        <f t="shared" si="203"/>
        <v>1269849</v>
      </c>
      <c r="M303" s="299">
        <v>1</v>
      </c>
      <c r="N303" s="299" t="s">
        <v>686</v>
      </c>
      <c r="O303" s="250">
        <v>45500</v>
      </c>
      <c r="P303" s="316">
        <v>45626</v>
      </c>
      <c r="Q303" s="312">
        <v>5079396</v>
      </c>
      <c r="R303" s="317"/>
      <c r="S303" s="317"/>
      <c r="T303" s="312">
        <v>0</v>
      </c>
      <c r="U303" s="318">
        <v>4</v>
      </c>
      <c r="V303" s="312">
        <v>5079396</v>
      </c>
      <c r="W303" s="356">
        <v>1750000000</v>
      </c>
      <c r="X303" s="353">
        <v>-0.43899999999999995</v>
      </c>
      <c r="Y303" s="376"/>
      <c r="Z303" s="376" t="s">
        <v>376</v>
      </c>
      <c r="AA303" s="356">
        <v>981750000</v>
      </c>
      <c r="AB303" s="270" t="s">
        <v>243</v>
      </c>
      <c r="AC303" s="393" t="s">
        <v>373</v>
      </c>
      <c r="AD303" s="393" t="s">
        <v>361</v>
      </c>
      <c r="AE303" s="358" t="s">
        <v>244</v>
      </c>
      <c r="AF303" s="359" t="str">
        <f t="shared" si="204"/>
        <v>CLE-301</v>
      </c>
      <c r="AG303" s="270">
        <v>80111600</v>
      </c>
      <c r="AH303" s="310" t="s">
        <v>737</v>
      </c>
      <c r="AI303" s="301" t="s">
        <v>393</v>
      </c>
      <c r="AJ303" s="301" t="s">
        <v>393</v>
      </c>
      <c r="AK303" s="302">
        <v>4</v>
      </c>
      <c r="AL303" s="303" t="s">
        <v>241</v>
      </c>
      <c r="AM303" s="304" t="s">
        <v>242</v>
      </c>
      <c r="AN303" s="305">
        <v>5079398</v>
      </c>
      <c r="AO303" s="305">
        <v>5079398</v>
      </c>
      <c r="AP303" s="303" t="s">
        <v>244</v>
      </c>
      <c r="AQ303" s="303" t="s">
        <v>245</v>
      </c>
      <c r="AR303" s="360" t="s">
        <v>246</v>
      </c>
      <c r="AS303" s="306" t="s">
        <v>247</v>
      </c>
      <c r="AT303" s="307" t="s">
        <v>372</v>
      </c>
      <c r="AU303" s="308" t="s">
        <v>248</v>
      </c>
      <c r="AV303" s="361" t="s">
        <v>249</v>
      </c>
      <c r="AW303" s="303" t="s">
        <v>244</v>
      </c>
      <c r="AX303" s="303" t="s">
        <v>361</v>
      </c>
      <c r="AY303" s="394" t="s">
        <v>250</v>
      </c>
      <c r="AZ303" s="394" t="s">
        <v>251</v>
      </c>
      <c r="BA303" s="394" t="s">
        <v>252</v>
      </c>
      <c r="BB303" s="394" t="s">
        <v>250</v>
      </c>
      <c r="BC303" s="394"/>
      <c r="BD303" s="394"/>
    </row>
    <row r="304" spans="1:56" customFormat="1" ht="48" x14ac:dyDescent="0.25">
      <c r="A304" s="298">
        <v>302</v>
      </c>
      <c r="B304" s="299" t="s">
        <v>90</v>
      </c>
      <c r="C304" s="299" t="s">
        <v>78</v>
      </c>
      <c r="D304" s="299" t="s">
        <v>375</v>
      </c>
      <c r="E304" s="299"/>
      <c r="F304" s="350" t="s">
        <v>383</v>
      </c>
      <c r="G304" s="350" t="s">
        <v>374</v>
      </c>
      <c r="H304" s="45" t="s">
        <v>67</v>
      </c>
      <c r="I304" s="299"/>
      <c r="J304" s="251">
        <v>1967592.5925925926</v>
      </c>
      <c r="K304" s="300">
        <v>5.0000000000000044E-2</v>
      </c>
      <c r="L304" s="311">
        <f t="shared" si="203"/>
        <v>1269849</v>
      </c>
      <c r="M304" s="299">
        <v>1</v>
      </c>
      <c r="N304" s="299" t="s">
        <v>686</v>
      </c>
      <c r="O304" s="250">
        <v>45500</v>
      </c>
      <c r="P304" s="316">
        <v>45626</v>
      </c>
      <c r="Q304" s="312">
        <v>5079396</v>
      </c>
      <c r="R304" s="317"/>
      <c r="S304" s="317"/>
      <c r="T304" s="312">
        <v>0</v>
      </c>
      <c r="U304" s="318">
        <v>4</v>
      </c>
      <c r="V304" s="312">
        <v>5079396</v>
      </c>
      <c r="W304" s="356">
        <v>1750000000</v>
      </c>
      <c r="X304" s="353">
        <v>-0.43899999999999995</v>
      </c>
      <c r="Y304" s="376"/>
      <c r="Z304" s="376" t="s">
        <v>376</v>
      </c>
      <c r="AA304" s="356">
        <v>981750000</v>
      </c>
      <c r="AB304" s="270" t="s">
        <v>243</v>
      </c>
      <c r="AC304" s="393" t="s">
        <v>373</v>
      </c>
      <c r="AD304" s="393" t="s">
        <v>361</v>
      </c>
      <c r="AE304" s="358" t="s">
        <v>244</v>
      </c>
      <c r="AF304" s="359" t="str">
        <f t="shared" si="204"/>
        <v>CLE-302</v>
      </c>
      <c r="AG304" s="270">
        <v>80111600</v>
      </c>
      <c r="AH304" s="310" t="s">
        <v>737</v>
      </c>
      <c r="AI304" s="301" t="s">
        <v>393</v>
      </c>
      <c r="AJ304" s="301" t="s">
        <v>393</v>
      </c>
      <c r="AK304" s="302">
        <v>4</v>
      </c>
      <c r="AL304" s="303" t="s">
        <v>241</v>
      </c>
      <c r="AM304" s="304" t="s">
        <v>242</v>
      </c>
      <c r="AN304" s="305">
        <v>5079398</v>
      </c>
      <c r="AO304" s="305">
        <v>5079398</v>
      </c>
      <c r="AP304" s="303" t="s">
        <v>244</v>
      </c>
      <c r="AQ304" s="303" t="s">
        <v>245</v>
      </c>
      <c r="AR304" s="360" t="s">
        <v>246</v>
      </c>
      <c r="AS304" s="306" t="s">
        <v>247</v>
      </c>
      <c r="AT304" s="307" t="s">
        <v>372</v>
      </c>
      <c r="AU304" s="308" t="s">
        <v>248</v>
      </c>
      <c r="AV304" s="361" t="s">
        <v>249</v>
      </c>
      <c r="AW304" s="303" t="s">
        <v>244</v>
      </c>
      <c r="AX304" s="303" t="s">
        <v>361</v>
      </c>
      <c r="AY304" s="394" t="s">
        <v>250</v>
      </c>
      <c r="AZ304" s="394" t="s">
        <v>251</v>
      </c>
      <c r="BA304" s="394" t="s">
        <v>252</v>
      </c>
      <c r="BB304" s="394" t="s">
        <v>250</v>
      </c>
      <c r="BC304" s="394"/>
      <c r="BD304" s="394"/>
    </row>
    <row r="305" spans="1:56" customFormat="1" ht="48" x14ac:dyDescent="0.25">
      <c r="A305" s="298">
        <v>303</v>
      </c>
      <c r="B305" s="299" t="s">
        <v>90</v>
      </c>
      <c r="C305" s="299" t="s">
        <v>78</v>
      </c>
      <c r="D305" s="299" t="s">
        <v>375</v>
      </c>
      <c r="E305" s="299"/>
      <c r="F305" s="350" t="s">
        <v>383</v>
      </c>
      <c r="G305" s="350" t="s">
        <v>374</v>
      </c>
      <c r="H305" s="45" t="s">
        <v>67</v>
      </c>
      <c r="I305" s="299"/>
      <c r="J305" s="251">
        <v>1967592.5925925926</v>
      </c>
      <c r="K305" s="300">
        <v>5.0000000000000044E-2</v>
      </c>
      <c r="L305" s="311">
        <f t="shared" si="203"/>
        <v>1269849</v>
      </c>
      <c r="M305" s="299">
        <v>1</v>
      </c>
      <c r="N305" s="299" t="s">
        <v>686</v>
      </c>
      <c r="O305" s="250">
        <v>45500</v>
      </c>
      <c r="P305" s="316">
        <v>45626</v>
      </c>
      <c r="Q305" s="312">
        <v>5079396</v>
      </c>
      <c r="R305" s="317"/>
      <c r="S305" s="317"/>
      <c r="T305" s="312">
        <v>0</v>
      </c>
      <c r="U305" s="318">
        <v>4</v>
      </c>
      <c r="V305" s="312">
        <v>5079396</v>
      </c>
      <c r="W305" s="356">
        <v>1750000000</v>
      </c>
      <c r="X305" s="353">
        <v>-0.43899999999999995</v>
      </c>
      <c r="Y305" s="376"/>
      <c r="Z305" s="376" t="s">
        <v>376</v>
      </c>
      <c r="AA305" s="356">
        <v>981750000</v>
      </c>
      <c r="AB305" s="270" t="s">
        <v>243</v>
      </c>
      <c r="AC305" s="393" t="s">
        <v>373</v>
      </c>
      <c r="AD305" s="393" t="s">
        <v>361</v>
      </c>
      <c r="AE305" s="358" t="s">
        <v>244</v>
      </c>
      <c r="AF305" s="359" t="str">
        <f t="shared" si="204"/>
        <v>CLE-303</v>
      </c>
      <c r="AG305" s="270">
        <v>80111600</v>
      </c>
      <c r="AH305" s="310" t="s">
        <v>737</v>
      </c>
      <c r="AI305" s="301" t="s">
        <v>393</v>
      </c>
      <c r="AJ305" s="301" t="s">
        <v>393</v>
      </c>
      <c r="AK305" s="302">
        <v>4</v>
      </c>
      <c r="AL305" s="303" t="s">
        <v>241</v>
      </c>
      <c r="AM305" s="304" t="s">
        <v>242</v>
      </c>
      <c r="AN305" s="305">
        <v>5079398</v>
      </c>
      <c r="AO305" s="305">
        <v>5079398</v>
      </c>
      <c r="AP305" s="303" t="s">
        <v>244</v>
      </c>
      <c r="AQ305" s="303" t="s">
        <v>245</v>
      </c>
      <c r="AR305" s="360" t="s">
        <v>246</v>
      </c>
      <c r="AS305" s="306" t="s">
        <v>247</v>
      </c>
      <c r="AT305" s="307" t="s">
        <v>372</v>
      </c>
      <c r="AU305" s="308" t="s">
        <v>248</v>
      </c>
      <c r="AV305" s="361" t="s">
        <v>249</v>
      </c>
      <c r="AW305" s="303" t="s">
        <v>244</v>
      </c>
      <c r="AX305" s="303" t="s">
        <v>361</v>
      </c>
      <c r="AY305" s="394" t="s">
        <v>250</v>
      </c>
      <c r="AZ305" s="394" t="s">
        <v>251</v>
      </c>
      <c r="BA305" s="394" t="s">
        <v>252</v>
      </c>
      <c r="BB305" s="394" t="s">
        <v>250</v>
      </c>
      <c r="BC305" s="394"/>
      <c r="BD305" s="394"/>
    </row>
    <row r="306" spans="1:56" customFormat="1" ht="48" x14ac:dyDescent="0.25">
      <c r="A306" s="298">
        <v>304</v>
      </c>
      <c r="B306" s="299" t="s">
        <v>90</v>
      </c>
      <c r="C306" s="299" t="s">
        <v>78</v>
      </c>
      <c r="D306" s="299" t="s">
        <v>375</v>
      </c>
      <c r="E306" s="299"/>
      <c r="F306" s="350" t="s">
        <v>383</v>
      </c>
      <c r="G306" s="350" t="s">
        <v>374</v>
      </c>
      <c r="H306" s="45" t="s">
        <v>67</v>
      </c>
      <c r="I306" s="299"/>
      <c r="J306" s="251">
        <v>1967592.5925925926</v>
      </c>
      <c r="K306" s="300">
        <v>5.0000000000000044E-2</v>
      </c>
      <c r="L306" s="311">
        <f t="shared" si="203"/>
        <v>1269849</v>
      </c>
      <c r="M306" s="299">
        <v>1</v>
      </c>
      <c r="N306" s="299" t="s">
        <v>686</v>
      </c>
      <c r="O306" s="250">
        <v>45500</v>
      </c>
      <c r="P306" s="316">
        <v>45626</v>
      </c>
      <c r="Q306" s="312">
        <v>5079396</v>
      </c>
      <c r="R306" s="317"/>
      <c r="S306" s="317"/>
      <c r="T306" s="312">
        <v>0</v>
      </c>
      <c r="U306" s="318">
        <v>4</v>
      </c>
      <c r="V306" s="312">
        <v>5079396</v>
      </c>
      <c r="W306" s="356">
        <v>1750000000</v>
      </c>
      <c r="X306" s="353">
        <v>-0.43899999999999995</v>
      </c>
      <c r="Y306" s="376"/>
      <c r="Z306" s="376" t="s">
        <v>376</v>
      </c>
      <c r="AA306" s="356">
        <v>981750000</v>
      </c>
      <c r="AB306" s="270" t="s">
        <v>243</v>
      </c>
      <c r="AC306" s="393" t="s">
        <v>373</v>
      </c>
      <c r="AD306" s="393" t="s">
        <v>361</v>
      </c>
      <c r="AE306" s="358" t="s">
        <v>244</v>
      </c>
      <c r="AF306" s="359" t="str">
        <f t="shared" si="204"/>
        <v>CLE-304</v>
      </c>
      <c r="AG306" s="270">
        <v>80111600</v>
      </c>
      <c r="AH306" s="310" t="s">
        <v>737</v>
      </c>
      <c r="AI306" s="301" t="s">
        <v>393</v>
      </c>
      <c r="AJ306" s="301" t="s">
        <v>393</v>
      </c>
      <c r="AK306" s="302">
        <v>4</v>
      </c>
      <c r="AL306" s="303" t="s">
        <v>241</v>
      </c>
      <c r="AM306" s="304" t="s">
        <v>242</v>
      </c>
      <c r="AN306" s="305">
        <v>5079398</v>
      </c>
      <c r="AO306" s="305">
        <v>5079398</v>
      </c>
      <c r="AP306" s="303" t="s">
        <v>244</v>
      </c>
      <c r="AQ306" s="303" t="s">
        <v>245</v>
      </c>
      <c r="AR306" s="360" t="s">
        <v>246</v>
      </c>
      <c r="AS306" s="306" t="s">
        <v>247</v>
      </c>
      <c r="AT306" s="307" t="s">
        <v>372</v>
      </c>
      <c r="AU306" s="308" t="s">
        <v>248</v>
      </c>
      <c r="AV306" s="361" t="s">
        <v>249</v>
      </c>
      <c r="AW306" s="303" t="s">
        <v>244</v>
      </c>
      <c r="AX306" s="303" t="s">
        <v>361</v>
      </c>
      <c r="AY306" s="394" t="s">
        <v>250</v>
      </c>
      <c r="AZ306" s="394" t="s">
        <v>251</v>
      </c>
      <c r="BA306" s="394" t="s">
        <v>252</v>
      </c>
      <c r="BB306" s="394" t="s">
        <v>250</v>
      </c>
      <c r="BC306" s="394"/>
      <c r="BD306" s="394"/>
    </row>
    <row r="307" spans="1:56" customFormat="1" ht="48" x14ac:dyDescent="0.25">
      <c r="A307" s="298">
        <v>305</v>
      </c>
      <c r="B307" s="299" t="s">
        <v>90</v>
      </c>
      <c r="C307" s="299" t="s">
        <v>78</v>
      </c>
      <c r="D307" s="299" t="s">
        <v>375</v>
      </c>
      <c r="E307" s="299"/>
      <c r="F307" s="350" t="s">
        <v>383</v>
      </c>
      <c r="G307" s="350" t="s">
        <v>374</v>
      </c>
      <c r="H307" s="45" t="s">
        <v>67</v>
      </c>
      <c r="I307" s="299"/>
      <c r="J307" s="251">
        <v>1967592.5925925926</v>
      </c>
      <c r="K307" s="300">
        <v>5.0000000000000044E-2</v>
      </c>
      <c r="L307" s="311">
        <f t="shared" si="203"/>
        <v>1269849</v>
      </c>
      <c r="M307" s="299">
        <v>1</v>
      </c>
      <c r="N307" s="299" t="s">
        <v>686</v>
      </c>
      <c r="O307" s="250">
        <v>45500</v>
      </c>
      <c r="P307" s="316">
        <v>45626</v>
      </c>
      <c r="Q307" s="312">
        <v>5079396</v>
      </c>
      <c r="R307" s="317"/>
      <c r="S307" s="317"/>
      <c r="T307" s="312">
        <v>0</v>
      </c>
      <c r="U307" s="318">
        <v>4</v>
      </c>
      <c r="V307" s="312">
        <v>5079396</v>
      </c>
      <c r="W307" s="356">
        <v>1750000000</v>
      </c>
      <c r="X307" s="353">
        <v>-0.43899999999999995</v>
      </c>
      <c r="Y307" s="376"/>
      <c r="Z307" s="376" t="s">
        <v>376</v>
      </c>
      <c r="AA307" s="356">
        <v>981750000</v>
      </c>
      <c r="AB307" s="270" t="s">
        <v>243</v>
      </c>
      <c r="AC307" s="393" t="s">
        <v>373</v>
      </c>
      <c r="AD307" s="393" t="s">
        <v>361</v>
      </c>
      <c r="AE307" s="358" t="s">
        <v>244</v>
      </c>
      <c r="AF307" s="359" t="str">
        <f t="shared" si="204"/>
        <v>CLE-305</v>
      </c>
      <c r="AG307" s="270">
        <v>80111600</v>
      </c>
      <c r="AH307" s="310" t="s">
        <v>737</v>
      </c>
      <c r="AI307" s="301" t="s">
        <v>393</v>
      </c>
      <c r="AJ307" s="301" t="s">
        <v>393</v>
      </c>
      <c r="AK307" s="302">
        <v>4</v>
      </c>
      <c r="AL307" s="303" t="s">
        <v>241</v>
      </c>
      <c r="AM307" s="304" t="s">
        <v>242</v>
      </c>
      <c r="AN307" s="305">
        <v>5079398</v>
      </c>
      <c r="AO307" s="305">
        <v>5079398</v>
      </c>
      <c r="AP307" s="303" t="s">
        <v>244</v>
      </c>
      <c r="AQ307" s="303" t="s">
        <v>245</v>
      </c>
      <c r="AR307" s="360" t="s">
        <v>246</v>
      </c>
      <c r="AS307" s="306" t="s">
        <v>247</v>
      </c>
      <c r="AT307" s="307" t="s">
        <v>372</v>
      </c>
      <c r="AU307" s="308" t="s">
        <v>248</v>
      </c>
      <c r="AV307" s="361" t="s">
        <v>249</v>
      </c>
      <c r="AW307" s="303" t="s">
        <v>244</v>
      </c>
      <c r="AX307" s="303" t="s">
        <v>361</v>
      </c>
      <c r="AY307" s="394" t="s">
        <v>250</v>
      </c>
      <c r="AZ307" s="394" t="s">
        <v>251</v>
      </c>
      <c r="BA307" s="394" t="s">
        <v>252</v>
      </c>
      <c r="BB307" s="394" t="s">
        <v>250</v>
      </c>
      <c r="BC307" s="394"/>
      <c r="BD307" s="394"/>
    </row>
    <row r="308" spans="1:56" customFormat="1" ht="48" x14ac:dyDescent="0.25">
      <c r="A308" s="298">
        <v>306</v>
      </c>
      <c r="B308" s="299" t="s">
        <v>90</v>
      </c>
      <c r="C308" s="299" t="s">
        <v>78</v>
      </c>
      <c r="D308" s="299" t="s">
        <v>375</v>
      </c>
      <c r="E308" s="299"/>
      <c r="F308" s="350" t="s">
        <v>383</v>
      </c>
      <c r="G308" s="350" t="s">
        <v>374</v>
      </c>
      <c r="H308" s="45" t="s">
        <v>67</v>
      </c>
      <c r="I308" s="299"/>
      <c r="J308" s="251">
        <v>1967592.5925925926</v>
      </c>
      <c r="K308" s="300">
        <v>5.0000000000000044E-2</v>
      </c>
      <c r="L308" s="311">
        <f t="shared" si="203"/>
        <v>1269849</v>
      </c>
      <c r="M308" s="299">
        <v>1</v>
      </c>
      <c r="N308" s="299" t="s">
        <v>686</v>
      </c>
      <c r="O308" s="250">
        <v>45500</v>
      </c>
      <c r="P308" s="316">
        <v>45626</v>
      </c>
      <c r="Q308" s="312">
        <v>5079396</v>
      </c>
      <c r="R308" s="317"/>
      <c r="S308" s="317"/>
      <c r="T308" s="312">
        <v>0</v>
      </c>
      <c r="U308" s="318">
        <v>4</v>
      </c>
      <c r="V308" s="312">
        <v>5079396</v>
      </c>
      <c r="W308" s="356">
        <v>1750000000</v>
      </c>
      <c r="X308" s="353">
        <v>-0.43899999999999995</v>
      </c>
      <c r="Y308" s="376"/>
      <c r="Z308" s="376" t="s">
        <v>376</v>
      </c>
      <c r="AA308" s="356">
        <v>981750000</v>
      </c>
      <c r="AB308" s="270" t="s">
        <v>243</v>
      </c>
      <c r="AC308" s="393" t="s">
        <v>373</v>
      </c>
      <c r="AD308" s="393" t="s">
        <v>361</v>
      </c>
      <c r="AE308" s="358" t="s">
        <v>244</v>
      </c>
      <c r="AF308" s="359" t="str">
        <f t="shared" si="204"/>
        <v>CLE-306</v>
      </c>
      <c r="AG308" s="270">
        <v>80111600</v>
      </c>
      <c r="AH308" s="310" t="s">
        <v>737</v>
      </c>
      <c r="AI308" s="301" t="s">
        <v>393</v>
      </c>
      <c r="AJ308" s="301" t="s">
        <v>393</v>
      </c>
      <c r="AK308" s="302">
        <v>4</v>
      </c>
      <c r="AL308" s="303" t="s">
        <v>241</v>
      </c>
      <c r="AM308" s="304" t="s">
        <v>242</v>
      </c>
      <c r="AN308" s="305">
        <v>5079398</v>
      </c>
      <c r="AO308" s="305">
        <v>5079398</v>
      </c>
      <c r="AP308" s="303" t="s">
        <v>244</v>
      </c>
      <c r="AQ308" s="303" t="s">
        <v>245</v>
      </c>
      <c r="AR308" s="360" t="s">
        <v>246</v>
      </c>
      <c r="AS308" s="306" t="s">
        <v>247</v>
      </c>
      <c r="AT308" s="307" t="s">
        <v>372</v>
      </c>
      <c r="AU308" s="308" t="s">
        <v>248</v>
      </c>
      <c r="AV308" s="361" t="s">
        <v>249</v>
      </c>
      <c r="AW308" s="303" t="s">
        <v>244</v>
      </c>
      <c r="AX308" s="303" t="s">
        <v>361</v>
      </c>
      <c r="AY308" s="394" t="s">
        <v>250</v>
      </c>
      <c r="AZ308" s="394" t="s">
        <v>251</v>
      </c>
      <c r="BA308" s="394" t="s">
        <v>252</v>
      </c>
      <c r="BB308" s="394" t="s">
        <v>250</v>
      </c>
      <c r="BC308" s="394"/>
      <c r="BD308" s="394"/>
    </row>
    <row r="309" spans="1:56" customFormat="1" ht="48" x14ac:dyDescent="0.25">
      <c r="A309" s="298">
        <v>307</v>
      </c>
      <c r="B309" s="299" t="s">
        <v>90</v>
      </c>
      <c r="C309" s="299" t="s">
        <v>78</v>
      </c>
      <c r="D309" s="299" t="s">
        <v>375</v>
      </c>
      <c r="E309" s="299"/>
      <c r="F309" s="350" t="s">
        <v>383</v>
      </c>
      <c r="G309" s="350" t="s">
        <v>374</v>
      </c>
      <c r="H309" s="45" t="s">
        <v>67</v>
      </c>
      <c r="I309" s="299"/>
      <c r="J309" s="251">
        <v>1967592.5925925926</v>
      </c>
      <c r="K309" s="300">
        <v>5.0000000000000044E-2</v>
      </c>
      <c r="L309" s="311">
        <f t="shared" si="203"/>
        <v>1269849</v>
      </c>
      <c r="M309" s="299">
        <v>1</v>
      </c>
      <c r="N309" s="299" t="s">
        <v>686</v>
      </c>
      <c r="O309" s="250">
        <v>45500</v>
      </c>
      <c r="P309" s="316">
        <v>45626</v>
      </c>
      <c r="Q309" s="312">
        <v>5079396</v>
      </c>
      <c r="R309" s="317"/>
      <c r="S309" s="317"/>
      <c r="T309" s="312">
        <v>0</v>
      </c>
      <c r="U309" s="318">
        <v>4</v>
      </c>
      <c r="V309" s="312">
        <v>5079396</v>
      </c>
      <c r="W309" s="356">
        <v>1750000000</v>
      </c>
      <c r="X309" s="353">
        <v>-0.43899999999999995</v>
      </c>
      <c r="Y309" s="376"/>
      <c r="Z309" s="376" t="s">
        <v>376</v>
      </c>
      <c r="AA309" s="356">
        <v>981750000</v>
      </c>
      <c r="AB309" s="270" t="s">
        <v>243</v>
      </c>
      <c r="AC309" s="393" t="s">
        <v>373</v>
      </c>
      <c r="AD309" s="393" t="s">
        <v>361</v>
      </c>
      <c r="AE309" s="358" t="s">
        <v>244</v>
      </c>
      <c r="AF309" s="359" t="str">
        <f t="shared" si="204"/>
        <v>CLE-307</v>
      </c>
      <c r="AG309" s="270">
        <v>80111600</v>
      </c>
      <c r="AH309" s="310" t="s">
        <v>737</v>
      </c>
      <c r="AI309" s="301" t="s">
        <v>393</v>
      </c>
      <c r="AJ309" s="301" t="s">
        <v>393</v>
      </c>
      <c r="AK309" s="302">
        <v>4</v>
      </c>
      <c r="AL309" s="303" t="s">
        <v>241</v>
      </c>
      <c r="AM309" s="304" t="s">
        <v>242</v>
      </c>
      <c r="AN309" s="305">
        <v>5079398</v>
      </c>
      <c r="AO309" s="305">
        <v>5079398</v>
      </c>
      <c r="AP309" s="303" t="s">
        <v>244</v>
      </c>
      <c r="AQ309" s="303" t="s">
        <v>245</v>
      </c>
      <c r="AR309" s="360" t="s">
        <v>246</v>
      </c>
      <c r="AS309" s="306" t="s">
        <v>247</v>
      </c>
      <c r="AT309" s="307" t="s">
        <v>372</v>
      </c>
      <c r="AU309" s="308" t="s">
        <v>248</v>
      </c>
      <c r="AV309" s="361" t="s">
        <v>249</v>
      </c>
      <c r="AW309" s="303" t="s">
        <v>244</v>
      </c>
      <c r="AX309" s="303" t="s">
        <v>361</v>
      </c>
      <c r="AY309" s="394" t="s">
        <v>250</v>
      </c>
      <c r="AZ309" s="394" t="s">
        <v>251</v>
      </c>
      <c r="BA309" s="394" t="s">
        <v>252</v>
      </c>
      <c r="BB309" s="394" t="s">
        <v>250</v>
      </c>
      <c r="BC309" s="394"/>
      <c r="BD309" s="394"/>
    </row>
    <row r="310" spans="1:56" customFormat="1" ht="48" x14ac:dyDescent="0.25">
      <c r="A310" s="298">
        <v>308</v>
      </c>
      <c r="B310" s="299" t="s">
        <v>90</v>
      </c>
      <c r="C310" s="299" t="s">
        <v>78</v>
      </c>
      <c r="D310" s="299" t="s">
        <v>375</v>
      </c>
      <c r="E310" s="299"/>
      <c r="F310" s="350" t="s">
        <v>383</v>
      </c>
      <c r="G310" s="350" t="s">
        <v>374</v>
      </c>
      <c r="H310" s="45" t="s">
        <v>67</v>
      </c>
      <c r="I310" s="299"/>
      <c r="J310" s="251">
        <v>1967592.5925925926</v>
      </c>
      <c r="K310" s="300">
        <v>5.0000000000000044E-2</v>
      </c>
      <c r="L310" s="311">
        <f t="shared" si="203"/>
        <v>1269849</v>
      </c>
      <c r="M310" s="299">
        <v>1</v>
      </c>
      <c r="N310" s="299" t="s">
        <v>686</v>
      </c>
      <c r="O310" s="250">
        <v>45500</v>
      </c>
      <c r="P310" s="316">
        <v>45626</v>
      </c>
      <c r="Q310" s="312">
        <v>5079396</v>
      </c>
      <c r="R310" s="317"/>
      <c r="S310" s="317"/>
      <c r="T310" s="312">
        <v>0</v>
      </c>
      <c r="U310" s="318">
        <v>4</v>
      </c>
      <c r="V310" s="312">
        <v>5079396</v>
      </c>
      <c r="W310" s="356">
        <v>1750000000</v>
      </c>
      <c r="X310" s="353">
        <v>-0.43899999999999995</v>
      </c>
      <c r="Y310" s="376"/>
      <c r="Z310" s="376" t="s">
        <v>376</v>
      </c>
      <c r="AA310" s="356">
        <v>981750000</v>
      </c>
      <c r="AB310" s="270" t="s">
        <v>243</v>
      </c>
      <c r="AC310" s="393" t="s">
        <v>373</v>
      </c>
      <c r="AD310" s="393" t="s">
        <v>361</v>
      </c>
      <c r="AE310" s="358" t="s">
        <v>244</v>
      </c>
      <c r="AF310" s="359" t="str">
        <f t="shared" si="204"/>
        <v>CLE-308</v>
      </c>
      <c r="AG310" s="270">
        <v>80111600</v>
      </c>
      <c r="AH310" s="310" t="s">
        <v>737</v>
      </c>
      <c r="AI310" s="301" t="s">
        <v>393</v>
      </c>
      <c r="AJ310" s="301" t="s">
        <v>393</v>
      </c>
      <c r="AK310" s="302">
        <v>4</v>
      </c>
      <c r="AL310" s="303" t="s">
        <v>241</v>
      </c>
      <c r="AM310" s="304" t="s">
        <v>242</v>
      </c>
      <c r="AN310" s="305">
        <v>5079398</v>
      </c>
      <c r="AO310" s="305">
        <v>5079398</v>
      </c>
      <c r="AP310" s="303" t="s">
        <v>244</v>
      </c>
      <c r="AQ310" s="303" t="s">
        <v>245</v>
      </c>
      <c r="AR310" s="360" t="s">
        <v>246</v>
      </c>
      <c r="AS310" s="306" t="s">
        <v>247</v>
      </c>
      <c r="AT310" s="307" t="s">
        <v>372</v>
      </c>
      <c r="AU310" s="308" t="s">
        <v>248</v>
      </c>
      <c r="AV310" s="361" t="s">
        <v>249</v>
      </c>
      <c r="AW310" s="303" t="s">
        <v>244</v>
      </c>
      <c r="AX310" s="303" t="s">
        <v>361</v>
      </c>
      <c r="AY310" s="394" t="s">
        <v>250</v>
      </c>
      <c r="AZ310" s="394" t="s">
        <v>251</v>
      </c>
      <c r="BA310" s="394" t="s">
        <v>252</v>
      </c>
      <c r="BB310" s="394" t="s">
        <v>250</v>
      </c>
      <c r="BC310" s="394"/>
      <c r="BD310" s="394"/>
    </row>
    <row r="311" spans="1:56" customFormat="1" ht="48" x14ac:dyDescent="0.25">
      <c r="A311" s="298">
        <v>309</v>
      </c>
      <c r="B311" s="299" t="s">
        <v>90</v>
      </c>
      <c r="C311" s="299" t="s">
        <v>78</v>
      </c>
      <c r="D311" s="299" t="s">
        <v>375</v>
      </c>
      <c r="E311" s="299"/>
      <c r="F311" s="350" t="s">
        <v>383</v>
      </c>
      <c r="G311" s="350" t="s">
        <v>374</v>
      </c>
      <c r="H311" s="45" t="s">
        <v>67</v>
      </c>
      <c r="I311" s="299"/>
      <c r="J311" s="251">
        <v>1967592.5925925926</v>
      </c>
      <c r="K311" s="300">
        <v>5.0000000000000044E-2</v>
      </c>
      <c r="L311" s="311">
        <f t="shared" si="203"/>
        <v>1269849</v>
      </c>
      <c r="M311" s="299">
        <v>1</v>
      </c>
      <c r="N311" s="299" t="s">
        <v>686</v>
      </c>
      <c r="O311" s="250">
        <v>45500</v>
      </c>
      <c r="P311" s="316">
        <v>45626</v>
      </c>
      <c r="Q311" s="312">
        <v>5079396</v>
      </c>
      <c r="R311" s="317"/>
      <c r="S311" s="317"/>
      <c r="T311" s="312">
        <v>0</v>
      </c>
      <c r="U311" s="318">
        <v>4</v>
      </c>
      <c r="V311" s="312">
        <v>5079396</v>
      </c>
      <c r="W311" s="356">
        <v>1750000000</v>
      </c>
      <c r="X311" s="353">
        <v>-0.43899999999999995</v>
      </c>
      <c r="Y311" s="376"/>
      <c r="Z311" s="376" t="s">
        <v>376</v>
      </c>
      <c r="AA311" s="356">
        <v>981750000</v>
      </c>
      <c r="AB311" s="270" t="s">
        <v>243</v>
      </c>
      <c r="AC311" s="393" t="s">
        <v>373</v>
      </c>
      <c r="AD311" s="393" t="s">
        <v>361</v>
      </c>
      <c r="AE311" s="358" t="s">
        <v>244</v>
      </c>
      <c r="AF311" s="359" t="str">
        <f t="shared" si="204"/>
        <v>CLE-309</v>
      </c>
      <c r="AG311" s="270">
        <v>80111600</v>
      </c>
      <c r="AH311" s="310" t="s">
        <v>737</v>
      </c>
      <c r="AI311" s="301" t="s">
        <v>393</v>
      </c>
      <c r="AJ311" s="301" t="s">
        <v>393</v>
      </c>
      <c r="AK311" s="302">
        <v>4</v>
      </c>
      <c r="AL311" s="303" t="s">
        <v>241</v>
      </c>
      <c r="AM311" s="304" t="s">
        <v>242</v>
      </c>
      <c r="AN311" s="305">
        <v>5079398</v>
      </c>
      <c r="AO311" s="305">
        <v>5079398</v>
      </c>
      <c r="AP311" s="303" t="s">
        <v>244</v>
      </c>
      <c r="AQ311" s="303" t="s">
        <v>245</v>
      </c>
      <c r="AR311" s="360" t="s">
        <v>246</v>
      </c>
      <c r="AS311" s="306" t="s">
        <v>247</v>
      </c>
      <c r="AT311" s="307" t="s">
        <v>372</v>
      </c>
      <c r="AU311" s="308" t="s">
        <v>248</v>
      </c>
      <c r="AV311" s="361" t="s">
        <v>249</v>
      </c>
      <c r="AW311" s="303" t="s">
        <v>244</v>
      </c>
      <c r="AX311" s="303" t="s">
        <v>361</v>
      </c>
      <c r="AY311" s="394" t="s">
        <v>250</v>
      </c>
      <c r="AZ311" s="394" t="s">
        <v>251</v>
      </c>
      <c r="BA311" s="394" t="s">
        <v>252</v>
      </c>
      <c r="BB311" s="394" t="s">
        <v>250</v>
      </c>
      <c r="BC311" s="394"/>
      <c r="BD311" s="394"/>
    </row>
    <row r="312" spans="1:56" customFormat="1" ht="48" x14ac:dyDescent="0.25">
      <c r="A312" s="298">
        <v>310</v>
      </c>
      <c r="B312" s="299" t="s">
        <v>90</v>
      </c>
      <c r="C312" s="299" t="s">
        <v>78</v>
      </c>
      <c r="D312" s="299" t="s">
        <v>375</v>
      </c>
      <c r="E312" s="299"/>
      <c r="F312" s="350" t="s">
        <v>383</v>
      </c>
      <c r="G312" s="350" t="s">
        <v>374</v>
      </c>
      <c r="H312" s="45" t="s">
        <v>67</v>
      </c>
      <c r="I312" s="299"/>
      <c r="J312" s="251">
        <v>1967592.5925925926</v>
      </c>
      <c r="K312" s="300">
        <v>5.0000000000000044E-2</v>
      </c>
      <c r="L312" s="311">
        <f t="shared" si="203"/>
        <v>1269849</v>
      </c>
      <c r="M312" s="299">
        <v>1</v>
      </c>
      <c r="N312" s="299" t="s">
        <v>686</v>
      </c>
      <c r="O312" s="250">
        <v>45500</v>
      </c>
      <c r="P312" s="316">
        <v>45626</v>
      </c>
      <c r="Q312" s="312">
        <v>5079396</v>
      </c>
      <c r="R312" s="317"/>
      <c r="S312" s="317"/>
      <c r="T312" s="312">
        <v>0</v>
      </c>
      <c r="U312" s="318">
        <v>4</v>
      </c>
      <c r="V312" s="312">
        <v>5079396</v>
      </c>
      <c r="W312" s="356">
        <v>1750000000</v>
      </c>
      <c r="X312" s="353">
        <v>-0.43899999999999995</v>
      </c>
      <c r="Y312" s="376"/>
      <c r="Z312" s="376" t="s">
        <v>376</v>
      </c>
      <c r="AA312" s="356">
        <v>981750000</v>
      </c>
      <c r="AB312" s="270" t="s">
        <v>243</v>
      </c>
      <c r="AC312" s="393" t="s">
        <v>373</v>
      </c>
      <c r="AD312" s="393" t="s">
        <v>361</v>
      </c>
      <c r="AE312" s="358" t="s">
        <v>244</v>
      </c>
      <c r="AF312" s="359" t="str">
        <f t="shared" si="204"/>
        <v>CLE-310</v>
      </c>
      <c r="AG312" s="270">
        <v>80111600</v>
      </c>
      <c r="AH312" s="310" t="s">
        <v>737</v>
      </c>
      <c r="AI312" s="301" t="s">
        <v>393</v>
      </c>
      <c r="AJ312" s="301" t="s">
        <v>393</v>
      </c>
      <c r="AK312" s="302">
        <v>4</v>
      </c>
      <c r="AL312" s="303" t="s">
        <v>241</v>
      </c>
      <c r="AM312" s="304" t="s">
        <v>242</v>
      </c>
      <c r="AN312" s="305">
        <v>5079398</v>
      </c>
      <c r="AO312" s="305">
        <v>5079398</v>
      </c>
      <c r="AP312" s="303" t="s">
        <v>244</v>
      </c>
      <c r="AQ312" s="303" t="s">
        <v>245</v>
      </c>
      <c r="AR312" s="360" t="s">
        <v>246</v>
      </c>
      <c r="AS312" s="306" t="s">
        <v>247</v>
      </c>
      <c r="AT312" s="307" t="s">
        <v>372</v>
      </c>
      <c r="AU312" s="308" t="s">
        <v>248</v>
      </c>
      <c r="AV312" s="361" t="s">
        <v>249</v>
      </c>
      <c r="AW312" s="303" t="s">
        <v>244</v>
      </c>
      <c r="AX312" s="303" t="s">
        <v>361</v>
      </c>
      <c r="AY312" s="394" t="s">
        <v>250</v>
      </c>
      <c r="AZ312" s="394" t="s">
        <v>251</v>
      </c>
      <c r="BA312" s="394" t="s">
        <v>252</v>
      </c>
      <c r="BB312" s="394" t="s">
        <v>250</v>
      </c>
      <c r="BC312" s="394"/>
      <c r="BD312" s="394"/>
    </row>
    <row r="313" spans="1:56" customFormat="1" ht="48" x14ac:dyDescent="0.25">
      <c r="A313" s="298">
        <v>311</v>
      </c>
      <c r="B313" s="299" t="s">
        <v>90</v>
      </c>
      <c r="C313" s="299" t="s">
        <v>78</v>
      </c>
      <c r="D313" s="299" t="s">
        <v>375</v>
      </c>
      <c r="E313" s="299"/>
      <c r="F313" s="350" t="s">
        <v>383</v>
      </c>
      <c r="G313" s="350" t="s">
        <v>374</v>
      </c>
      <c r="H313" s="45" t="s">
        <v>67</v>
      </c>
      <c r="I313" s="299"/>
      <c r="J313" s="251">
        <v>1967592.5925925926</v>
      </c>
      <c r="K313" s="300">
        <v>5.0000000000000044E-2</v>
      </c>
      <c r="L313" s="311">
        <f t="shared" si="203"/>
        <v>1269849</v>
      </c>
      <c r="M313" s="299">
        <v>1</v>
      </c>
      <c r="N313" s="299" t="s">
        <v>686</v>
      </c>
      <c r="O313" s="250">
        <v>45500</v>
      </c>
      <c r="P313" s="316">
        <v>45626</v>
      </c>
      <c r="Q313" s="312">
        <v>5079396</v>
      </c>
      <c r="R313" s="317"/>
      <c r="S313" s="317"/>
      <c r="T313" s="312">
        <v>0</v>
      </c>
      <c r="U313" s="318">
        <v>4</v>
      </c>
      <c r="V313" s="312">
        <v>5079396</v>
      </c>
      <c r="W313" s="356">
        <v>1750000000</v>
      </c>
      <c r="X313" s="353">
        <v>-0.43899999999999995</v>
      </c>
      <c r="Y313" s="376"/>
      <c r="Z313" s="376" t="s">
        <v>376</v>
      </c>
      <c r="AA313" s="356">
        <v>981750000</v>
      </c>
      <c r="AB313" s="270" t="s">
        <v>243</v>
      </c>
      <c r="AC313" s="393" t="s">
        <v>373</v>
      </c>
      <c r="AD313" s="393" t="s">
        <v>361</v>
      </c>
      <c r="AE313" s="358" t="s">
        <v>244</v>
      </c>
      <c r="AF313" s="359" t="str">
        <f t="shared" si="204"/>
        <v>CLE-311</v>
      </c>
      <c r="AG313" s="270">
        <v>80111600</v>
      </c>
      <c r="AH313" s="310" t="s">
        <v>737</v>
      </c>
      <c r="AI313" s="301" t="s">
        <v>393</v>
      </c>
      <c r="AJ313" s="301" t="s">
        <v>393</v>
      </c>
      <c r="AK313" s="302">
        <v>4</v>
      </c>
      <c r="AL313" s="303" t="s">
        <v>241</v>
      </c>
      <c r="AM313" s="304" t="s">
        <v>242</v>
      </c>
      <c r="AN313" s="305">
        <v>5079398</v>
      </c>
      <c r="AO313" s="305">
        <v>5079398</v>
      </c>
      <c r="AP313" s="303" t="s">
        <v>244</v>
      </c>
      <c r="AQ313" s="303" t="s">
        <v>245</v>
      </c>
      <c r="AR313" s="360" t="s">
        <v>246</v>
      </c>
      <c r="AS313" s="306" t="s">
        <v>247</v>
      </c>
      <c r="AT313" s="307" t="s">
        <v>372</v>
      </c>
      <c r="AU313" s="308" t="s">
        <v>248</v>
      </c>
      <c r="AV313" s="361" t="s">
        <v>249</v>
      </c>
      <c r="AW313" s="303" t="s">
        <v>244</v>
      </c>
      <c r="AX313" s="303" t="s">
        <v>361</v>
      </c>
      <c r="AY313" s="394" t="s">
        <v>250</v>
      </c>
      <c r="AZ313" s="394" t="s">
        <v>251</v>
      </c>
      <c r="BA313" s="394" t="s">
        <v>252</v>
      </c>
      <c r="BB313" s="394" t="s">
        <v>250</v>
      </c>
      <c r="BC313" s="394"/>
      <c r="BD313" s="394"/>
    </row>
    <row r="314" spans="1:56" customFormat="1" ht="48" x14ac:dyDescent="0.25">
      <c r="A314" s="298">
        <v>312</v>
      </c>
      <c r="B314" s="299" t="s">
        <v>90</v>
      </c>
      <c r="C314" s="299" t="s">
        <v>78</v>
      </c>
      <c r="D314" s="299" t="s">
        <v>375</v>
      </c>
      <c r="E314" s="299"/>
      <c r="F314" s="350" t="s">
        <v>383</v>
      </c>
      <c r="G314" s="350" t="s">
        <v>374</v>
      </c>
      <c r="H314" s="45" t="s">
        <v>67</v>
      </c>
      <c r="I314" s="299"/>
      <c r="J314" s="251">
        <v>1967592.5925925926</v>
      </c>
      <c r="K314" s="300">
        <v>5.0000000000000044E-2</v>
      </c>
      <c r="L314" s="311">
        <f t="shared" si="203"/>
        <v>1269849</v>
      </c>
      <c r="M314" s="299">
        <v>1</v>
      </c>
      <c r="N314" s="299" t="s">
        <v>686</v>
      </c>
      <c r="O314" s="250">
        <v>45500</v>
      </c>
      <c r="P314" s="316">
        <v>45626</v>
      </c>
      <c r="Q314" s="312">
        <v>5079396</v>
      </c>
      <c r="R314" s="317"/>
      <c r="S314" s="317"/>
      <c r="T314" s="312">
        <v>0</v>
      </c>
      <c r="U314" s="318">
        <v>4</v>
      </c>
      <c r="V314" s="312">
        <v>5079396</v>
      </c>
      <c r="W314" s="356">
        <v>1750000000</v>
      </c>
      <c r="X314" s="353">
        <v>-0.43899999999999995</v>
      </c>
      <c r="Y314" s="376"/>
      <c r="Z314" s="376" t="s">
        <v>376</v>
      </c>
      <c r="AA314" s="356">
        <v>981750000</v>
      </c>
      <c r="AB314" s="270" t="s">
        <v>243</v>
      </c>
      <c r="AC314" s="393" t="s">
        <v>373</v>
      </c>
      <c r="AD314" s="393" t="s">
        <v>361</v>
      </c>
      <c r="AE314" s="358" t="s">
        <v>244</v>
      </c>
      <c r="AF314" s="359" t="str">
        <f t="shared" si="204"/>
        <v>CLE-312</v>
      </c>
      <c r="AG314" s="270">
        <v>80111600</v>
      </c>
      <c r="AH314" s="310" t="s">
        <v>737</v>
      </c>
      <c r="AI314" s="301" t="s">
        <v>393</v>
      </c>
      <c r="AJ314" s="301" t="s">
        <v>393</v>
      </c>
      <c r="AK314" s="302">
        <v>4</v>
      </c>
      <c r="AL314" s="303" t="s">
        <v>241</v>
      </c>
      <c r="AM314" s="304" t="s">
        <v>242</v>
      </c>
      <c r="AN314" s="305">
        <v>5079398</v>
      </c>
      <c r="AO314" s="305">
        <v>5079398</v>
      </c>
      <c r="AP314" s="303" t="s">
        <v>244</v>
      </c>
      <c r="AQ314" s="303" t="s">
        <v>245</v>
      </c>
      <c r="AR314" s="360" t="s">
        <v>246</v>
      </c>
      <c r="AS314" s="306" t="s">
        <v>247</v>
      </c>
      <c r="AT314" s="307" t="s">
        <v>372</v>
      </c>
      <c r="AU314" s="308" t="s">
        <v>248</v>
      </c>
      <c r="AV314" s="361" t="s">
        <v>249</v>
      </c>
      <c r="AW314" s="303" t="s">
        <v>244</v>
      </c>
      <c r="AX314" s="303" t="s">
        <v>361</v>
      </c>
      <c r="AY314" s="394" t="s">
        <v>250</v>
      </c>
      <c r="AZ314" s="394" t="s">
        <v>251</v>
      </c>
      <c r="BA314" s="394" t="s">
        <v>252</v>
      </c>
      <c r="BB314" s="394" t="s">
        <v>250</v>
      </c>
      <c r="BC314" s="394"/>
      <c r="BD314" s="394"/>
    </row>
    <row r="315" spans="1:56" customFormat="1" ht="48" x14ac:dyDescent="0.25">
      <c r="A315" s="298">
        <v>313</v>
      </c>
      <c r="B315" s="299" t="s">
        <v>90</v>
      </c>
      <c r="C315" s="299" t="s">
        <v>78</v>
      </c>
      <c r="D315" s="299" t="s">
        <v>375</v>
      </c>
      <c r="E315" s="299"/>
      <c r="F315" s="350" t="s">
        <v>383</v>
      </c>
      <c r="G315" s="350" t="s">
        <v>374</v>
      </c>
      <c r="H315" s="45" t="s">
        <v>67</v>
      </c>
      <c r="I315" s="299"/>
      <c r="J315" s="251">
        <v>1967592.5925925926</v>
      </c>
      <c r="K315" s="300">
        <v>5.0000000000000044E-2</v>
      </c>
      <c r="L315" s="311">
        <f t="shared" si="203"/>
        <v>1269849</v>
      </c>
      <c r="M315" s="299">
        <v>1</v>
      </c>
      <c r="N315" s="299" t="s">
        <v>686</v>
      </c>
      <c r="O315" s="250">
        <v>45500</v>
      </c>
      <c r="P315" s="316">
        <v>45626</v>
      </c>
      <c r="Q315" s="312">
        <v>5079396</v>
      </c>
      <c r="R315" s="317"/>
      <c r="S315" s="317"/>
      <c r="T315" s="312">
        <v>0</v>
      </c>
      <c r="U315" s="318">
        <v>4</v>
      </c>
      <c r="V315" s="312">
        <v>5079396</v>
      </c>
      <c r="W315" s="356">
        <v>1750000000</v>
      </c>
      <c r="X315" s="353">
        <v>-0.43899999999999995</v>
      </c>
      <c r="Y315" s="376"/>
      <c r="Z315" s="376" t="s">
        <v>376</v>
      </c>
      <c r="AA315" s="356">
        <v>981750000</v>
      </c>
      <c r="AB315" s="270" t="s">
        <v>243</v>
      </c>
      <c r="AC315" s="393" t="s">
        <v>373</v>
      </c>
      <c r="AD315" s="393" t="s">
        <v>361</v>
      </c>
      <c r="AE315" s="358" t="s">
        <v>244</v>
      </c>
      <c r="AF315" s="359" t="str">
        <f t="shared" si="204"/>
        <v>CLE-313</v>
      </c>
      <c r="AG315" s="270">
        <v>80111600</v>
      </c>
      <c r="AH315" s="310" t="s">
        <v>737</v>
      </c>
      <c r="AI315" s="301" t="s">
        <v>393</v>
      </c>
      <c r="AJ315" s="301" t="s">
        <v>393</v>
      </c>
      <c r="AK315" s="302">
        <v>4</v>
      </c>
      <c r="AL315" s="303" t="s">
        <v>241</v>
      </c>
      <c r="AM315" s="304" t="s">
        <v>242</v>
      </c>
      <c r="AN315" s="305">
        <v>5079398</v>
      </c>
      <c r="AO315" s="305">
        <v>5079398</v>
      </c>
      <c r="AP315" s="303" t="s">
        <v>244</v>
      </c>
      <c r="AQ315" s="303" t="s">
        <v>245</v>
      </c>
      <c r="AR315" s="360" t="s">
        <v>246</v>
      </c>
      <c r="AS315" s="306" t="s">
        <v>247</v>
      </c>
      <c r="AT315" s="307" t="s">
        <v>372</v>
      </c>
      <c r="AU315" s="308" t="s">
        <v>248</v>
      </c>
      <c r="AV315" s="361" t="s">
        <v>249</v>
      </c>
      <c r="AW315" s="303" t="s">
        <v>244</v>
      </c>
      <c r="AX315" s="303" t="s">
        <v>361</v>
      </c>
      <c r="AY315" s="394" t="s">
        <v>250</v>
      </c>
      <c r="AZ315" s="394" t="s">
        <v>251</v>
      </c>
      <c r="BA315" s="394" t="s">
        <v>252</v>
      </c>
      <c r="BB315" s="394" t="s">
        <v>250</v>
      </c>
      <c r="BC315" s="394"/>
      <c r="BD315" s="394"/>
    </row>
    <row r="316" spans="1:56" customFormat="1" ht="48" x14ac:dyDescent="0.25">
      <c r="A316" s="298">
        <v>314</v>
      </c>
      <c r="B316" s="299" t="s">
        <v>90</v>
      </c>
      <c r="C316" s="299" t="s">
        <v>78</v>
      </c>
      <c r="D316" s="299" t="s">
        <v>375</v>
      </c>
      <c r="E316" s="299"/>
      <c r="F316" s="350" t="s">
        <v>383</v>
      </c>
      <c r="G316" s="350" t="s">
        <v>374</v>
      </c>
      <c r="H316" s="45" t="s">
        <v>67</v>
      </c>
      <c r="I316" s="299"/>
      <c r="J316" s="251">
        <v>1967592.5925925926</v>
      </c>
      <c r="K316" s="300">
        <v>5.0000000000000044E-2</v>
      </c>
      <c r="L316" s="311">
        <f t="shared" si="203"/>
        <v>1269849</v>
      </c>
      <c r="M316" s="299">
        <v>1</v>
      </c>
      <c r="N316" s="299" t="s">
        <v>686</v>
      </c>
      <c r="O316" s="250">
        <v>45500</v>
      </c>
      <c r="P316" s="316">
        <v>45626</v>
      </c>
      <c r="Q316" s="312">
        <v>5079396</v>
      </c>
      <c r="R316" s="317"/>
      <c r="S316" s="317"/>
      <c r="T316" s="312">
        <v>0</v>
      </c>
      <c r="U316" s="318">
        <v>4</v>
      </c>
      <c r="V316" s="312">
        <v>5079396</v>
      </c>
      <c r="W316" s="356">
        <v>1750000000</v>
      </c>
      <c r="X316" s="353">
        <v>-0.43899999999999995</v>
      </c>
      <c r="Y316" s="376"/>
      <c r="Z316" s="376" t="s">
        <v>376</v>
      </c>
      <c r="AA316" s="356">
        <v>981750000</v>
      </c>
      <c r="AB316" s="270" t="s">
        <v>243</v>
      </c>
      <c r="AC316" s="393" t="s">
        <v>373</v>
      </c>
      <c r="AD316" s="393" t="s">
        <v>361</v>
      </c>
      <c r="AE316" s="358" t="s">
        <v>244</v>
      </c>
      <c r="AF316" s="359" t="str">
        <f t="shared" si="204"/>
        <v>CLE-314</v>
      </c>
      <c r="AG316" s="270">
        <v>80111600</v>
      </c>
      <c r="AH316" s="310" t="s">
        <v>737</v>
      </c>
      <c r="AI316" s="301" t="s">
        <v>393</v>
      </c>
      <c r="AJ316" s="301" t="s">
        <v>393</v>
      </c>
      <c r="AK316" s="302">
        <v>4</v>
      </c>
      <c r="AL316" s="303" t="s">
        <v>241</v>
      </c>
      <c r="AM316" s="304" t="s">
        <v>242</v>
      </c>
      <c r="AN316" s="305">
        <v>5079398</v>
      </c>
      <c r="AO316" s="305">
        <v>5079398</v>
      </c>
      <c r="AP316" s="303" t="s">
        <v>244</v>
      </c>
      <c r="AQ316" s="303" t="s">
        <v>245</v>
      </c>
      <c r="AR316" s="360" t="s">
        <v>246</v>
      </c>
      <c r="AS316" s="306" t="s">
        <v>247</v>
      </c>
      <c r="AT316" s="307" t="s">
        <v>372</v>
      </c>
      <c r="AU316" s="308" t="s">
        <v>248</v>
      </c>
      <c r="AV316" s="361" t="s">
        <v>249</v>
      </c>
      <c r="AW316" s="303" t="s">
        <v>244</v>
      </c>
      <c r="AX316" s="303" t="s">
        <v>361</v>
      </c>
      <c r="AY316" s="394" t="s">
        <v>250</v>
      </c>
      <c r="AZ316" s="394" t="s">
        <v>251</v>
      </c>
      <c r="BA316" s="394" t="s">
        <v>252</v>
      </c>
      <c r="BB316" s="394" t="s">
        <v>250</v>
      </c>
      <c r="BC316" s="394"/>
      <c r="BD316" s="394"/>
    </row>
    <row r="317" spans="1:56" customFormat="1" ht="48" x14ac:dyDescent="0.25">
      <c r="A317" s="298">
        <v>315</v>
      </c>
      <c r="B317" s="299" t="s">
        <v>90</v>
      </c>
      <c r="C317" s="299" t="s">
        <v>78</v>
      </c>
      <c r="D317" s="299" t="s">
        <v>375</v>
      </c>
      <c r="E317" s="299"/>
      <c r="F317" s="350" t="s">
        <v>383</v>
      </c>
      <c r="G317" s="350" t="s">
        <v>374</v>
      </c>
      <c r="H317" s="45" t="s">
        <v>67</v>
      </c>
      <c r="I317" s="299"/>
      <c r="J317" s="251">
        <v>1967592.5925925926</v>
      </c>
      <c r="K317" s="300">
        <v>5.0000000000000044E-2</v>
      </c>
      <c r="L317" s="311">
        <f t="shared" si="203"/>
        <v>1269849</v>
      </c>
      <c r="M317" s="299">
        <v>1</v>
      </c>
      <c r="N317" s="299" t="s">
        <v>686</v>
      </c>
      <c r="O317" s="250">
        <v>45500</v>
      </c>
      <c r="P317" s="316">
        <v>45626</v>
      </c>
      <c r="Q317" s="312">
        <v>5079396</v>
      </c>
      <c r="R317" s="317"/>
      <c r="S317" s="317"/>
      <c r="T317" s="312">
        <v>0</v>
      </c>
      <c r="U317" s="318">
        <v>4</v>
      </c>
      <c r="V317" s="312">
        <v>5079396</v>
      </c>
      <c r="W317" s="356">
        <v>1750000000</v>
      </c>
      <c r="X317" s="353">
        <v>-0.43899999999999995</v>
      </c>
      <c r="Y317" s="376"/>
      <c r="Z317" s="376" t="s">
        <v>376</v>
      </c>
      <c r="AA317" s="356">
        <v>981750000</v>
      </c>
      <c r="AB317" s="270" t="s">
        <v>243</v>
      </c>
      <c r="AC317" s="393" t="s">
        <v>373</v>
      </c>
      <c r="AD317" s="393" t="s">
        <v>361</v>
      </c>
      <c r="AE317" s="358" t="s">
        <v>244</v>
      </c>
      <c r="AF317" s="359" t="str">
        <f t="shared" si="204"/>
        <v>CLE-315</v>
      </c>
      <c r="AG317" s="270">
        <v>80111600</v>
      </c>
      <c r="AH317" s="310" t="s">
        <v>737</v>
      </c>
      <c r="AI317" s="301" t="s">
        <v>393</v>
      </c>
      <c r="AJ317" s="301" t="s">
        <v>393</v>
      </c>
      <c r="AK317" s="302">
        <v>4</v>
      </c>
      <c r="AL317" s="303" t="s">
        <v>241</v>
      </c>
      <c r="AM317" s="304" t="s">
        <v>242</v>
      </c>
      <c r="AN317" s="305">
        <v>5079398</v>
      </c>
      <c r="AO317" s="305">
        <v>5079398</v>
      </c>
      <c r="AP317" s="303" t="s">
        <v>244</v>
      </c>
      <c r="AQ317" s="303" t="s">
        <v>245</v>
      </c>
      <c r="AR317" s="360" t="s">
        <v>246</v>
      </c>
      <c r="AS317" s="306" t="s">
        <v>247</v>
      </c>
      <c r="AT317" s="307" t="s">
        <v>372</v>
      </c>
      <c r="AU317" s="308" t="s">
        <v>248</v>
      </c>
      <c r="AV317" s="361" t="s">
        <v>249</v>
      </c>
      <c r="AW317" s="303" t="s">
        <v>244</v>
      </c>
      <c r="AX317" s="303" t="s">
        <v>361</v>
      </c>
      <c r="AY317" s="394" t="s">
        <v>250</v>
      </c>
      <c r="AZ317" s="394" t="s">
        <v>251</v>
      </c>
      <c r="BA317" s="394" t="s">
        <v>252</v>
      </c>
      <c r="BB317" s="394" t="s">
        <v>250</v>
      </c>
      <c r="BC317" s="394"/>
      <c r="BD317" s="394"/>
    </row>
    <row r="318" spans="1:56" customFormat="1" ht="48" x14ac:dyDescent="0.25">
      <c r="A318" s="298">
        <v>316</v>
      </c>
      <c r="B318" s="299" t="s">
        <v>90</v>
      </c>
      <c r="C318" s="299" t="s">
        <v>78</v>
      </c>
      <c r="D318" s="299" t="s">
        <v>375</v>
      </c>
      <c r="E318" s="299"/>
      <c r="F318" s="350" t="s">
        <v>383</v>
      </c>
      <c r="G318" s="350" t="s">
        <v>374</v>
      </c>
      <c r="H318" s="45" t="s">
        <v>67</v>
      </c>
      <c r="I318" s="299"/>
      <c r="J318" s="251">
        <v>1967592.5925925926</v>
      </c>
      <c r="K318" s="300">
        <v>5.0000000000000044E-2</v>
      </c>
      <c r="L318" s="311">
        <f t="shared" si="203"/>
        <v>1269849</v>
      </c>
      <c r="M318" s="299">
        <v>1</v>
      </c>
      <c r="N318" s="299" t="s">
        <v>686</v>
      </c>
      <c r="O318" s="250">
        <v>45500</v>
      </c>
      <c r="P318" s="316">
        <v>45626</v>
      </c>
      <c r="Q318" s="312">
        <v>5079396</v>
      </c>
      <c r="R318" s="317"/>
      <c r="S318" s="317"/>
      <c r="T318" s="312">
        <v>0</v>
      </c>
      <c r="U318" s="318">
        <v>4</v>
      </c>
      <c r="V318" s="312">
        <v>5079396</v>
      </c>
      <c r="W318" s="356">
        <v>1750000000</v>
      </c>
      <c r="X318" s="353">
        <v>-0.43899999999999995</v>
      </c>
      <c r="Y318" s="376"/>
      <c r="Z318" s="376" t="s">
        <v>376</v>
      </c>
      <c r="AA318" s="356">
        <v>981750000</v>
      </c>
      <c r="AB318" s="270" t="s">
        <v>243</v>
      </c>
      <c r="AC318" s="393" t="s">
        <v>373</v>
      </c>
      <c r="AD318" s="393" t="s">
        <v>361</v>
      </c>
      <c r="AE318" s="358" t="s">
        <v>244</v>
      </c>
      <c r="AF318" s="359" t="str">
        <f t="shared" si="204"/>
        <v>CLE-316</v>
      </c>
      <c r="AG318" s="270">
        <v>80111600</v>
      </c>
      <c r="AH318" s="310" t="s">
        <v>737</v>
      </c>
      <c r="AI318" s="301" t="s">
        <v>393</v>
      </c>
      <c r="AJ318" s="301" t="s">
        <v>393</v>
      </c>
      <c r="AK318" s="302">
        <v>4</v>
      </c>
      <c r="AL318" s="303" t="s">
        <v>241</v>
      </c>
      <c r="AM318" s="304" t="s">
        <v>242</v>
      </c>
      <c r="AN318" s="305">
        <v>5079398</v>
      </c>
      <c r="AO318" s="305">
        <v>5079398</v>
      </c>
      <c r="AP318" s="303" t="s">
        <v>244</v>
      </c>
      <c r="AQ318" s="303" t="s">
        <v>245</v>
      </c>
      <c r="AR318" s="360" t="s">
        <v>246</v>
      </c>
      <c r="AS318" s="306" t="s">
        <v>247</v>
      </c>
      <c r="AT318" s="307" t="s">
        <v>372</v>
      </c>
      <c r="AU318" s="308" t="s">
        <v>248</v>
      </c>
      <c r="AV318" s="361" t="s">
        <v>249</v>
      </c>
      <c r="AW318" s="303" t="s">
        <v>244</v>
      </c>
      <c r="AX318" s="303" t="s">
        <v>361</v>
      </c>
      <c r="AY318" s="394" t="s">
        <v>250</v>
      </c>
      <c r="AZ318" s="394" t="s">
        <v>251</v>
      </c>
      <c r="BA318" s="394" t="s">
        <v>252</v>
      </c>
      <c r="BB318" s="394" t="s">
        <v>250</v>
      </c>
      <c r="BC318" s="394"/>
      <c r="BD318" s="394"/>
    </row>
    <row r="319" spans="1:56" customFormat="1" ht="48" x14ac:dyDescent="0.25">
      <c r="A319" s="298">
        <v>317</v>
      </c>
      <c r="B319" s="299" t="s">
        <v>90</v>
      </c>
      <c r="C319" s="299" t="s">
        <v>78</v>
      </c>
      <c r="D319" s="299" t="s">
        <v>375</v>
      </c>
      <c r="E319" s="299"/>
      <c r="F319" s="350" t="s">
        <v>383</v>
      </c>
      <c r="G319" s="350" t="s">
        <v>374</v>
      </c>
      <c r="H319" s="45" t="s">
        <v>67</v>
      </c>
      <c r="I319" s="299"/>
      <c r="J319" s="251">
        <v>1967592.5925925926</v>
      </c>
      <c r="K319" s="300">
        <v>5.0000000000000044E-2</v>
      </c>
      <c r="L319" s="416">
        <v>1225061</v>
      </c>
      <c r="M319" s="299">
        <v>1</v>
      </c>
      <c r="N319" s="299" t="s">
        <v>686</v>
      </c>
      <c r="O319" s="250">
        <v>45507</v>
      </c>
      <c r="P319" s="316">
        <v>45626</v>
      </c>
      <c r="Q319" s="312">
        <v>4900244</v>
      </c>
      <c r="R319" s="317"/>
      <c r="S319" s="317"/>
      <c r="T319" s="312">
        <v>0</v>
      </c>
      <c r="U319" s="318">
        <v>5</v>
      </c>
      <c r="V319" s="312">
        <v>4900244</v>
      </c>
      <c r="W319" s="356">
        <v>1750000000</v>
      </c>
      <c r="X319" s="353">
        <v>-0.43899999999999995</v>
      </c>
      <c r="Y319" s="376"/>
      <c r="Z319" s="376" t="s">
        <v>376</v>
      </c>
      <c r="AA319" s="356">
        <v>981750000</v>
      </c>
      <c r="AB319" s="270" t="s">
        <v>243</v>
      </c>
      <c r="AC319" s="393" t="s">
        <v>373</v>
      </c>
      <c r="AD319" s="393" t="s">
        <v>361</v>
      </c>
      <c r="AE319" s="358" t="s">
        <v>244</v>
      </c>
      <c r="AF319" s="315" t="s">
        <v>770</v>
      </c>
      <c r="AG319" s="270">
        <v>80111600</v>
      </c>
      <c r="AH319" s="310" t="s">
        <v>737</v>
      </c>
      <c r="AI319" s="301" t="s">
        <v>769</v>
      </c>
      <c r="AJ319" s="301" t="s">
        <v>769</v>
      </c>
      <c r="AK319" s="302">
        <v>5</v>
      </c>
      <c r="AL319" s="303" t="s">
        <v>241</v>
      </c>
      <c r="AM319" s="304" t="s">
        <v>242</v>
      </c>
      <c r="AN319" s="313">
        <v>4900244</v>
      </c>
      <c r="AO319" s="313">
        <v>4900244</v>
      </c>
      <c r="AP319" s="303" t="s">
        <v>244</v>
      </c>
      <c r="AQ319" s="303" t="s">
        <v>245</v>
      </c>
      <c r="AR319" s="360" t="s">
        <v>246</v>
      </c>
      <c r="AS319" s="306" t="s">
        <v>247</v>
      </c>
      <c r="AT319" s="307" t="s">
        <v>372</v>
      </c>
      <c r="AU319" s="308" t="s">
        <v>248</v>
      </c>
      <c r="AV319" s="361" t="s">
        <v>249</v>
      </c>
      <c r="AW319" s="303" t="s">
        <v>244</v>
      </c>
      <c r="AX319" s="303" t="s">
        <v>361</v>
      </c>
      <c r="AY319" s="394" t="s">
        <v>250</v>
      </c>
      <c r="AZ319" s="394" t="s">
        <v>251</v>
      </c>
      <c r="BA319" s="394" t="s">
        <v>252</v>
      </c>
      <c r="BB319" s="394" t="s">
        <v>250</v>
      </c>
      <c r="BC319" s="394"/>
      <c r="BD319" s="394"/>
    </row>
    <row r="320" spans="1:56" customFormat="1" ht="48" x14ac:dyDescent="0.25">
      <c r="A320" s="298">
        <v>318</v>
      </c>
      <c r="B320" s="299" t="s">
        <v>90</v>
      </c>
      <c r="C320" s="299" t="s">
        <v>78</v>
      </c>
      <c r="D320" s="299" t="s">
        <v>375</v>
      </c>
      <c r="E320" s="299"/>
      <c r="F320" s="350" t="s">
        <v>383</v>
      </c>
      <c r="G320" s="350" t="s">
        <v>374</v>
      </c>
      <c r="H320" s="45" t="s">
        <v>67</v>
      </c>
      <c r="I320" s="299"/>
      <c r="J320" s="251">
        <v>1967592.5925925926</v>
      </c>
      <c r="K320" s="300">
        <v>5.0000000000000044E-2</v>
      </c>
      <c r="L320" s="416">
        <v>1225061</v>
      </c>
      <c r="M320" s="299">
        <v>1</v>
      </c>
      <c r="N320" s="299" t="s">
        <v>686</v>
      </c>
      <c r="O320" s="250">
        <v>45507</v>
      </c>
      <c r="P320" s="316">
        <v>45626</v>
      </c>
      <c r="Q320" s="312">
        <v>4900244</v>
      </c>
      <c r="R320" s="317"/>
      <c r="S320" s="317"/>
      <c r="T320" s="312">
        <v>0</v>
      </c>
      <c r="U320" s="318">
        <v>5</v>
      </c>
      <c r="V320" s="312">
        <v>4900244</v>
      </c>
      <c r="W320" s="356">
        <v>1750000000</v>
      </c>
      <c r="X320" s="353">
        <v>-0.43899999999999995</v>
      </c>
      <c r="Y320" s="376"/>
      <c r="Z320" s="376" t="s">
        <v>376</v>
      </c>
      <c r="AA320" s="356">
        <v>981750000</v>
      </c>
      <c r="AB320" s="270" t="s">
        <v>243</v>
      </c>
      <c r="AC320" s="393" t="s">
        <v>373</v>
      </c>
      <c r="AD320" s="393" t="s">
        <v>361</v>
      </c>
      <c r="AE320" s="358" t="s">
        <v>244</v>
      </c>
      <c r="AF320" s="315" t="s">
        <v>771</v>
      </c>
      <c r="AG320" s="270">
        <v>80111600</v>
      </c>
      <c r="AH320" s="310" t="s">
        <v>737</v>
      </c>
      <c r="AI320" s="301" t="s">
        <v>769</v>
      </c>
      <c r="AJ320" s="301" t="s">
        <v>769</v>
      </c>
      <c r="AK320" s="302">
        <v>5</v>
      </c>
      <c r="AL320" s="303" t="s">
        <v>241</v>
      </c>
      <c r="AM320" s="304" t="s">
        <v>242</v>
      </c>
      <c r="AN320" s="313">
        <v>4900244</v>
      </c>
      <c r="AO320" s="313">
        <v>4900244</v>
      </c>
      <c r="AP320" s="303" t="s">
        <v>244</v>
      </c>
      <c r="AQ320" s="303" t="s">
        <v>245</v>
      </c>
      <c r="AR320" s="360" t="s">
        <v>246</v>
      </c>
      <c r="AS320" s="306" t="s">
        <v>247</v>
      </c>
      <c r="AT320" s="307" t="s">
        <v>372</v>
      </c>
      <c r="AU320" s="308" t="s">
        <v>248</v>
      </c>
      <c r="AV320" s="361" t="s">
        <v>249</v>
      </c>
      <c r="AW320" s="303" t="s">
        <v>244</v>
      </c>
      <c r="AX320" s="303" t="s">
        <v>361</v>
      </c>
      <c r="AY320" s="394" t="s">
        <v>250</v>
      </c>
      <c r="AZ320" s="394" t="s">
        <v>251</v>
      </c>
      <c r="BA320" s="394" t="s">
        <v>252</v>
      </c>
      <c r="BB320" s="394" t="s">
        <v>250</v>
      </c>
      <c r="BC320" s="394"/>
      <c r="BD320" s="394"/>
    </row>
    <row r="321" spans="1:56" ht="48" x14ac:dyDescent="0.2">
      <c r="A321" s="298">
        <v>319</v>
      </c>
      <c r="B321" s="299" t="s">
        <v>63</v>
      </c>
      <c r="C321" s="299" t="s">
        <v>25</v>
      </c>
      <c r="D321" s="299" t="s">
        <v>38</v>
      </c>
      <c r="E321" s="299" t="s">
        <v>84</v>
      </c>
      <c r="F321" s="350" t="s">
        <v>39</v>
      </c>
      <c r="G321" s="350" t="s">
        <v>75</v>
      </c>
      <c r="H321" s="299" t="s">
        <v>71</v>
      </c>
      <c r="I321" s="299">
        <v>3</v>
      </c>
      <c r="J321" s="311">
        <v>1712528.2124999999</v>
      </c>
      <c r="K321" s="300">
        <f t="shared" ref="K321" si="205">IF(J321="",1,((L321/J321)-1))</f>
        <v>8.0274173877296073E-2</v>
      </c>
      <c r="L321" s="311">
        <f>IF(H321="OTRO",(J321*1.05),VLOOKUP((I321&amp;H321),'ESCALAS Salarios'!$D$2:$F$30,3,0))</f>
        <v>1850000</v>
      </c>
      <c r="M321" s="299">
        <v>1</v>
      </c>
      <c r="N321" s="299" t="s">
        <v>485</v>
      </c>
      <c r="O321" s="250">
        <v>45505</v>
      </c>
      <c r="P321" s="377">
        <v>45626</v>
      </c>
      <c r="Q321" s="312">
        <f>L321*U321</f>
        <v>7400000</v>
      </c>
      <c r="R321" s="250"/>
      <c r="S321" s="317"/>
      <c r="T321" s="312">
        <f t="shared" ref="T321" si="206">IF($N321="MENSUAL",ROUND((((S321-R321))/30),0)*$L321,((S321-R321)/30)*$L321)</f>
        <v>0</v>
      </c>
      <c r="U321" s="318">
        <f t="shared" ref="U321" si="207">ROUND((((P321-O321)+(S321-R321))/30),0)</f>
        <v>4</v>
      </c>
      <c r="V321" s="312">
        <f t="shared" ref="V321" si="208">+Q321+T321</f>
        <v>7400000</v>
      </c>
      <c r="W321" s="313">
        <f t="shared" ref="W321" si="209">6621775.755*2.075</f>
        <v>13740184.691625001</v>
      </c>
      <c r="X321" s="353">
        <f t="shared" ref="X321" si="210">IF(W321="",1,IF(W321=0,1,((V321/W321)-1)))</f>
        <v>-0.46143373134492927</v>
      </c>
      <c r="Y321" s="375">
        <v>1073154394</v>
      </c>
      <c r="Z321" s="376" t="s">
        <v>441</v>
      </c>
      <c r="AA321" s="356">
        <f t="shared" ref="AA321" si="211">+V321</f>
        <v>7400000</v>
      </c>
      <c r="AB321" s="270" t="s">
        <v>243</v>
      </c>
      <c r="AC321" s="393" t="s">
        <v>15</v>
      </c>
      <c r="AD321" s="358" t="s">
        <v>361</v>
      </c>
      <c r="AE321" s="358" t="s">
        <v>244</v>
      </c>
      <c r="AF321" s="359" t="str">
        <f>"CON-"&amp;A321</f>
        <v>CON-319</v>
      </c>
      <c r="AG321" s="270">
        <v>80111600</v>
      </c>
      <c r="AH321" s="310" t="s">
        <v>738</v>
      </c>
      <c r="AI321" s="301">
        <f t="shared" ref="AI321" si="212">+O321</f>
        <v>45505</v>
      </c>
      <c r="AJ321" s="301">
        <f t="shared" ref="AJ321" si="213">+AI321</f>
        <v>45505</v>
      </c>
      <c r="AK321" s="302">
        <f t="shared" ref="AK321" si="214">+U321</f>
        <v>4</v>
      </c>
      <c r="AL321" s="303" t="s">
        <v>241</v>
      </c>
      <c r="AM321" s="304" t="s">
        <v>242</v>
      </c>
      <c r="AN321" s="305">
        <f t="shared" ref="AN321" si="215">+V321</f>
        <v>7400000</v>
      </c>
      <c r="AO321" s="305">
        <f t="shared" ref="AO321" si="216">+AN321</f>
        <v>7400000</v>
      </c>
      <c r="AP321" s="303" t="s">
        <v>244</v>
      </c>
      <c r="AQ321" s="303" t="s">
        <v>245</v>
      </c>
      <c r="AR321" s="360" t="s">
        <v>246</v>
      </c>
      <c r="AS321" s="306" t="s">
        <v>247</v>
      </c>
      <c r="AT321" s="307" t="str">
        <f t="shared" ref="AT321" si="217">D321</f>
        <v>SUBDIRECCIÓN DE BIENESTAR UNIVERSITARIO</v>
      </c>
      <c r="AU321" s="308" t="s">
        <v>248</v>
      </c>
      <c r="AV321" s="361" t="s">
        <v>249</v>
      </c>
      <c r="AW321" s="303" t="s">
        <v>244</v>
      </c>
      <c r="AX321" s="303" t="s">
        <v>244</v>
      </c>
      <c r="AY321" s="362" t="s">
        <v>250</v>
      </c>
      <c r="AZ321" s="363" t="s">
        <v>251</v>
      </c>
      <c r="BA321" s="363" t="s">
        <v>252</v>
      </c>
      <c r="BB321" s="363" t="s">
        <v>250</v>
      </c>
      <c r="BC321" s="363"/>
      <c r="BD321" s="363"/>
    </row>
    <row r="322" spans="1:56" ht="48" x14ac:dyDescent="0.2">
      <c r="A322" s="298">
        <v>320</v>
      </c>
      <c r="B322" s="299" t="s">
        <v>90</v>
      </c>
      <c r="C322" s="299" t="s">
        <v>78</v>
      </c>
      <c r="D322" s="299" t="s">
        <v>375</v>
      </c>
      <c r="E322" s="299"/>
      <c r="F322" s="350" t="s">
        <v>383</v>
      </c>
      <c r="G322" s="350" t="s">
        <v>374</v>
      </c>
      <c r="H322" s="45" t="s">
        <v>473</v>
      </c>
      <c r="I322" s="299"/>
      <c r="J322" s="297">
        <v>1967592.5925925926</v>
      </c>
      <c r="K322" s="300">
        <v>5.0000000000000044E-2</v>
      </c>
      <c r="L322" s="422">
        <v>0</v>
      </c>
      <c r="M322" s="299"/>
      <c r="N322" s="299" t="s">
        <v>686</v>
      </c>
      <c r="O322" s="250">
        <v>45500</v>
      </c>
      <c r="P322" s="316">
        <v>45626</v>
      </c>
      <c r="Q322" s="423">
        <v>900364057</v>
      </c>
      <c r="R322" s="317"/>
      <c r="S322" s="317"/>
      <c r="T322" s="423">
        <v>0</v>
      </c>
      <c r="U322" s="424">
        <v>4</v>
      </c>
      <c r="V322" s="312">
        <v>900364057</v>
      </c>
      <c r="W322" s="425">
        <v>1750000000</v>
      </c>
      <c r="X322" s="353">
        <v>-0.43899999999999995</v>
      </c>
      <c r="Y322" s="376"/>
      <c r="Z322" s="376" t="s">
        <v>376</v>
      </c>
      <c r="AA322" s="425">
        <v>981750000</v>
      </c>
      <c r="AB322" s="270" t="s">
        <v>243</v>
      </c>
      <c r="AC322" s="393" t="s">
        <v>373</v>
      </c>
      <c r="AD322" s="393" t="s">
        <v>361</v>
      </c>
      <c r="AE322" s="358" t="s">
        <v>244</v>
      </c>
      <c r="AF322" s="359" t="str">
        <f>"CLE-"&amp;A322</f>
        <v>CLE-320</v>
      </c>
      <c r="AG322" s="270">
        <v>80111600</v>
      </c>
      <c r="AH322" s="310" t="s">
        <v>737</v>
      </c>
      <c r="AI322" s="301" t="s">
        <v>393</v>
      </c>
      <c r="AJ322" s="301" t="s">
        <v>393</v>
      </c>
      <c r="AK322" s="302">
        <v>4</v>
      </c>
      <c r="AL322" s="303" t="s">
        <v>241</v>
      </c>
      <c r="AM322" s="304" t="s">
        <v>242</v>
      </c>
      <c r="AN322" s="305">
        <v>900364057</v>
      </c>
      <c r="AO322" s="305">
        <v>900364057</v>
      </c>
      <c r="AP322" s="303" t="s">
        <v>244</v>
      </c>
      <c r="AQ322" s="303" t="s">
        <v>245</v>
      </c>
      <c r="AR322" s="360" t="s">
        <v>246</v>
      </c>
      <c r="AS322" s="306" t="s">
        <v>247</v>
      </c>
      <c r="AT322" s="307" t="s">
        <v>372</v>
      </c>
      <c r="AU322" s="308" t="s">
        <v>248</v>
      </c>
      <c r="AV322" s="361" t="s">
        <v>249</v>
      </c>
      <c r="AW322" s="303" t="s">
        <v>244</v>
      </c>
      <c r="AX322" s="303" t="s">
        <v>361</v>
      </c>
      <c r="AY322" s="394" t="s">
        <v>250</v>
      </c>
      <c r="AZ322" s="394" t="s">
        <v>251</v>
      </c>
      <c r="BA322" s="394" t="s">
        <v>252</v>
      </c>
      <c r="BB322" s="394" t="s">
        <v>250</v>
      </c>
      <c r="BC322" s="394"/>
      <c r="BD322" s="394"/>
    </row>
    <row r="323" spans="1:56" customFormat="1" ht="48" x14ac:dyDescent="0.25">
      <c r="A323" s="257">
        <v>321</v>
      </c>
      <c r="B323" s="299" t="s">
        <v>90</v>
      </c>
      <c r="C323" s="299" t="s">
        <v>78</v>
      </c>
      <c r="D323" s="299" t="s">
        <v>375</v>
      </c>
      <c r="E323" s="299"/>
      <c r="F323" s="350" t="s">
        <v>383</v>
      </c>
      <c r="G323" s="350" t="s">
        <v>374</v>
      </c>
      <c r="H323" s="45" t="s">
        <v>69</v>
      </c>
      <c r="I323" s="299"/>
      <c r="J323" s="251">
        <v>1967592.5925925926</v>
      </c>
      <c r="K323" s="300">
        <v>5.0000000000000044E-2</v>
      </c>
      <c r="L323" s="364" t="s">
        <v>739</v>
      </c>
      <c r="M323" s="299">
        <v>1</v>
      </c>
      <c r="N323" s="299" t="s">
        <v>686</v>
      </c>
      <c r="O323" s="250">
        <v>45475</v>
      </c>
      <c r="P323" s="316">
        <v>45626</v>
      </c>
      <c r="Q323" s="312">
        <v>24701938</v>
      </c>
      <c r="R323" s="317"/>
      <c r="S323" s="317"/>
      <c r="T323" s="312">
        <v>0</v>
      </c>
      <c r="U323" s="318">
        <v>5</v>
      </c>
      <c r="V323" s="312">
        <v>24701938</v>
      </c>
      <c r="W323" s="356">
        <v>1750000000</v>
      </c>
      <c r="X323" s="353">
        <v>-0.43899999999999995</v>
      </c>
      <c r="Y323" s="376"/>
      <c r="Z323" s="376" t="s">
        <v>376</v>
      </c>
      <c r="AA323" s="356">
        <v>981750000</v>
      </c>
      <c r="AB323" s="270" t="s">
        <v>243</v>
      </c>
      <c r="AC323" s="393" t="s">
        <v>373</v>
      </c>
      <c r="AD323" s="393" t="s">
        <v>361</v>
      </c>
      <c r="AE323" s="358" t="s">
        <v>244</v>
      </c>
      <c r="AF323" s="359" t="str">
        <f>"CLE-"&amp;A323</f>
        <v>CLE-321</v>
      </c>
      <c r="AG323" s="270">
        <v>80111600</v>
      </c>
      <c r="AH323" s="310" t="s">
        <v>737</v>
      </c>
      <c r="AI323" s="301" t="s">
        <v>393</v>
      </c>
      <c r="AJ323" s="301" t="s">
        <v>393</v>
      </c>
      <c r="AK323" s="302">
        <v>5</v>
      </c>
      <c r="AL323" s="303" t="s">
        <v>241</v>
      </c>
      <c r="AM323" s="304" t="s">
        <v>242</v>
      </c>
      <c r="AN323" s="305">
        <v>24701938</v>
      </c>
      <c r="AO323" s="305">
        <v>24701938</v>
      </c>
      <c r="AP323" s="303" t="s">
        <v>244</v>
      </c>
      <c r="AQ323" s="303" t="s">
        <v>245</v>
      </c>
      <c r="AR323" s="360" t="s">
        <v>246</v>
      </c>
      <c r="AS323" s="306" t="s">
        <v>247</v>
      </c>
      <c r="AT323" s="307" t="s">
        <v>372</v>
      </c>
      <c r="AU323" s="308" t="s">
        <v>248</v>
      </c>
      <c r="AV323" s="361" t="s">
        <v>249</v>
      </c>
      <c r="AW323" s="303" t="s">
        <v>244</v>
      </c>
      <c r="AX323" s="303" t="s">
        <v>361</v>
      </c>
      <c r="AY323" s="394" t="s">
        <v>250</v>
      </c>
      <c r="AZ323" s="394" t="s">
        <v>251</v>
      </c>
      <c r="BA323" s="394" t="s">
        <v>252</v>
      </c>
      <c r="BB323" s="394" t="s">
        <v>250</v>
      </c>
      <c r="BC323" s="394"/>
      <c r="BD323" s="394"/>
    </row>
    <row r="324" spans="1:56" customFormat="1" ht="48" x14ac:dyDescent="0.25">
      <c r="A324" s="257">
        <v>322</v>
      </c>
      <c r="B324" s="299" t="s">
        <v>90</v>
      </c>
      <c r="C324" s="299" t="s">
        <v>78</v>
      </c>
      <c r="D324" s="299" t="s">
        <v>375</v>
      </c>
      <c r="E324" s="299"/>
      <c r="F324" s="350" t="s">
        <v>383</v>
      </c>
      <c r="G324" s="350" t="s">
        <v>374</v>
      </c>
      <c r="H324" s="45" t="s">
        <v>69</v>
      </c>
      <c r="I324" s="299"/>
      <c r="J324" s="251">
        <v>1967592.5925925926</v>
      </c>
      <c r="K324" s="300">
        <v>5.0000000000000044E-2</v>
      </c>
      <c r="L324" s="364" t="s">
        <v>739</v>
      </c>
      <c r="M324" s="299">
        <v>1</v>
      </c>
      <c r="N324" s="299" t="s">
        <v>686</v>
      </c>
      <c r="O324" s="250">
        <v>45475</v>
      </c>
      <c r="P324" s="316">
        <v>45626</v>
      </c>
      <c r="Q324" s="312">
        <v>5532131</v>
      </c>
      <c r="R324" s="317"/>
      <c r="S324" s="317"/>
      <c r="T324" s="312">
        <v>0</v>
      </c>
      <c r="U324" s="318">
        <v>5</v>
      </c>
      <c r="V324" s="312">
        <v>5532131</v>
      </c>
      <c r="W324" s="356">
        <v>1750000000</v>
      </c>
      <c r="X324" s="353">
        <v>-0.43899999999999995</v>
      </c>
      <c r="Y324" s="376"/>
      <c r="Z324" s="376" t="s">
        <v>376</v>
      </c>
      <c r="AA324" s="356">
        <v>981750000</v>
      </c>
      <c r="AB324" s="270" t="s">
        <v>243</v>
      </c>
      <c r="AC324" s="393" t="s">
        <v>373</v>
      </c>
      <c r="AD324" s="393" t="s">
        <v>361</v>
      </c>
      <c r="AE324" s="358" t="s">
        <v>244</v>
      </c>
      <c r="AF324" s="359" t="str">
        <f t="shared" ref="AF324:AF326" si="218">"CLE-"&amp;A324</f>
        <v>CLE-322</v>
      </c>
      <c r="AG324" s="270">
        <v>80111600</v>
      </c>
      <c r="AH324" s="310" t="s">
        <v>737</v>
      </c>
      <c r="AI324" s="301" t="s">
        <v>393</v>
      </c>
      <c r="AJ324" s="301" t="s">
        <v>393</v>
      </c>
      <c r="AK324" s="302">
        <v>5</v>
      </c>
      <c r="AL324" s="303" t="s">
        <v>241</v>
      </c>
      <c r="AM324" s="304" t="s">
        <v>242</v>
      </c>
      <c r="AN324" s="305">
        <v>5532131</v>
      </c>
      <c r="AO324" s="305">
        <v>5532131</v>
      </c>
      <c r="AP324" s="303" t="s">
        <v>244</v>
      </c>
      <c r="AQ324" s="303" t="s">
        <v>245</v>
      </c>
      <c r="AR324" s="360" t="s">
        <v>246</v>
      </c>
      <c r="AS324" s="306" t="s">
        <v>247</v>
      </c>
      <c r="AT324" s="307" t="s">
        <v>372</v>
      </c>
      <c r="AU324" s="308" t="s">
        <v>248</v>
      </c>
      <c r="AV324" s="361" t="s">
        <v>249</v>
      </c>
      <c r="AW324" s="303" t="s">
        <v>244</v>
      </c>
      <c r="AX324" s="303" t="s">
        <v>361</v>
      </c>
      <c r="AY324" s="394" t="s">
        <v>250</v>
      </c>
      <c r="AZ324" s="394" t="s">
        <v>251</v>
      </c>
      <c r="BA324" s="394" t="s">
        <v>252</v>
      </c>
      <c r="BB324" s="394" t="s">
        <v>250</v>
      </c>
      <c r="BC324" s="394"/>
      <c r="BD324" s="394"/>
    </row>
    <row r="325" spans="1:56" customFormat="1" ht="48" x14ac:dyDescent="0.25">
      <c r="A325" s="257">
        <v>323</v>
      </c>
      <c r="B325" s="299" t="s">
        <v>90</v>
      </c>
      <c r="C325" s="299" t="s">
        <v>78</v>
      </c>
      <c r="D325" s="299" t="s">
        <v>375</v>
      </c>
      <c r="E325" s="299"/>
      <c r="F325" s="350" t="s">
        <v>383</v>
      </c>
      <c r="G325" s="350" t="s">
        <v>374</v>
      </c>
      <c r="H325" s="45" t="s">
        <v>69</v>
      </c>
      <c r="I325" s="299"/>
      <c r="J325" s="251">
        <v>1967592.5925925926</v>
      </c>
      <c r="K325" s="300">
        <v>5.0000000000000044E-2</v>
      </c>
      <c r="L325" s="364" t="s">
        <v>739</v>
      </c>
      <c r="M325" s="299">
        <v>1</v>
      </c>
      <c r="N325" s="299" t="s">
        <v>686</v>
      </c>
      <c r="O325" s="250">
        <v>45475</v>
      </c>
      <c r="P325" s="316">
        <v>45626</v>
      </c>
      <c r="Q325" s="312">
        <v>11111915</v>
      </c>
      <c r="R325" s="317"/>
      <c r="S325" s="317"/>
      <c r="T325" s="312">
        <v>0</v>
      </c>
      <c r="U325" s="318">
        <v>5</v>
      </c>
      <c r="V325" s="312">
        <v>11111915</v>
      </c>
      <c r="W325" s="356">
        <v>1750000000</v>
      </c>
      <c r="X325" s="353">
        <v>-0.43899999999999995</v>
      </c>
      <c r="Y325" s="376"/>
      <c r="Z325" s="376" t="s">
        <v>376</v>
      </c>
      <c r="AA325" s="356">
        <v>981750000</v>
      </c>
      <c r="AB325" s="270" t="s">
        <v>243</v>
      </c>
      <c r="AC325" s="393" t="s">
        <v>373</v>
      </c>
      <c r="AD325" s="393" t="s">
        <v>361</v>
      </c>
      <c r="AE325" s="358" t="s">
        <v>244</v>
      </c>
      <c r="AF325" s="359" t="str">
        <f t="shared" si="218"/>
        <v>CLE-323</v>
      </c>
      <c r="AG325" s="270">
        <v>80111600</v>
      </c>
      <c r="AH325" s="310" t="s">
        <v>737</v>
      </c>
      <c r="AI325" s="301" t="s">
        <v>393</v>
      </c>
      <c r="AJ325" s="301" t="s">
        <v>393</v>
      </c>
      <c r="AK325" s="302">
        <v>5</v>
      </c>
      <c r="AL325" s="303" t="s">
        <v>241</v>
      </c>
      <c r="AM325" s="304" t="s">
        <v>242</v>
      </c>
      <c r="AN325" s="305">
        <v>11111915</v>
      </c>
      <c r="AO325" s="305">
        <v>11111915</v>
      </c>
      <c r="AP325" s="303" t="s">
        <v>244</v>
      </c>
      <c r="AQ325" s="303" t="s">
        <v>245</v>
      </c>
      <c r="AR325" s="360" t="s">
        <v>246</v>
      </c>
      <c r="AS325" s="306" t="s">
        <v>247</v>
      </c>
      <c r="AT325" s="307" t="s">
        <v>372</v>
      </c>
      <c r="AU325" s="308" t="s">
        <v>248</v>
      </c>
      <c r="AV325" s="361" t="s">
        <v>249</v>
      </c>
      <c r="AW325" s="303" t="s">
        <v>244</v>
      </c>
      <c r="AX325" s="303" t="s">
        <v>361</v>
      </c>
      <c r="AY325" s="394" t="s">
        <v>250</v>
      </c>
      <c r="AZ325" s="394" t="s">
        <v>251</v>
      </c>
      <c r="BA325" s="394" t="s">
        <v>252</v>
      </c>
      <c r="BB325" s="394" t="s">
        <v>250</v>
      </c>
      <c r="BC325" s="394"/>
      <c r="BD325" s="394"/>
    </row>
    <row r="326" spans="1:56" customFormat="1" ht="48" x14ac:dyDescent="0.25">
      <c r="A326" s="257">
        <v>324</v>
      </c>
      <c r="B326" s="299" t="s">
        <v>90</v>
      </c>
      <c r="C326" s="299" t="s">
        <v>78</v>
      </c>
      <c r="D326" s="299" t="s">
        <v>375</v>
      </c>
      <c r="E326" s="299"/>
      <c r="F326" s="350" t="s">
        <v>383</v>
      </c>
      <c r="G326" s="350" t="s">
        <v>374</v>
      </c>
      <c r="H326" s="45" t="s">
        <v>67</v>
      </c>
      <c r="I326" s="299"/>
      <c r="J326" s="251">
        <v>1967592.5925925926</v>
      </c>
      <c r="K326" s="300">
        <v>5.0000000000000044E-2</v>
      </c>
      <c r="L326" s="364" t="s">
        <v>739</v>
      </c>
      <c r="M326" s="299">
        <v>1</v>
      </c>
      <c r="N326" s="299" t="s">
        <v>686</v>
      </c>
      <c r="O326" s="250">
        <v>45475</v>
      </c>
      <c r="P326" s="316">
        <v>45626</v>
      </c>
      <c r="Q326" s="312">
        <v>21693252</v>
      </c>
      <c r="R326" s="317"/>
      <c r="S326" s="317"/>
      <c r="T326" s="312">
        <v>0</v>
      </c>
      <c r="U326" s="318">
        <v>5</v>
      </c>
      <c r="V326" s="312">
        <v>21693252</v>
      </c>
      <c r="W326" s="356">
        <v>1750000000</v>
      </c>
      <c r="X326" s="353">
        <v>-0.43899999999999995</v>
      </c>
      <c r="Y326" s="376"/>
      <c r="Z326" s="376" t="s">
        <v>376</v>
      </c>
      <c r="AA326" s="356">
        <v>981750000</v>
      </c>
      <c r="AB326" s="270" t="s">
        <v>243</v>
      </c>
      <c r="AC326" s="393" t="s">
        <v>373</v>
      </c>
      <c r="AD326" s="393" t="s">
        <v>361</v>
      </c>
      <c r="AE326" s="358" t="s">
        <v>244</v>
      </c>
      <c r="AF326" s="359" t="str">
        <f t="shared" si="218"/>
        <v>CLE-324</v>
      </c>
      <c r="AG326" s="270">
        <v>80111600</v>
      </c>
      <c r="AH326" s="310" t="s">
        <v>737</v>
      </c>
      <c r="AI326" s="301" t="s">
        <v>393</v>
      </c>
      <c r="AJ326" s="301" t="s">
        <v>393</v>
      </c>
      <c r="AK326" s="302">
        <v>5</v>
      </c>
      <c r="AL326" s="303" t="s">
        <v>241</v>
      </c>
      <c r="AM326" s="304" t="s">
        <v>242</v>
      </c>
      <c r="AN326" s="305">
        <v>21693252</v>
      </c>
      <c r="AO326" s="305">
        <v>21693252</v>
      </c>
      <c r="AP326" s="303" t="s">
        <v>244</v>
      </c>
      <c r="AQ326" s="303" t="s">
        <v>245</v>
      </c>
      <c r="AR326" s="360" t="s">
        <v>246</v>
      </c>
      <c r="AS326" s="306" t="s">
        <v>247</v>
      </c>
      <c r="AT326" s="307" t="s">
        <v>372</v>
      </c>
      <c r="AU326" s="308" t="s">
        <v>248</v>
      </c>
      <c r="AV326" s="361" t="s">
        <v>249</v>
      </c>
      <c r="AW326" s="303" t="s">
        <v>244</v>
      </c>
      <c r="AX326" s="303" t="s">
        <v>361</v>
      </c>
      <c r="AY326" s="394" t="s">
        <v>250</v>
      </c>
      <c r="AZ326" s="394" t="s">
        <v>251</v>
      </c>
      <c r="BA326" s="394" t="s">
        <v>252</v>
      </c>
      <c r="BB326" s="394" t="s">
        <v>250</v>
      </c>
      <c r="BC326" s="394"/>
      <c r="BD326" s="394"/>
    </row>
    <row r="327" spans="1:56" ht="36" x14ac:dyDescent="0.2">
      <c r="A327" s="257">
        <v>325</v>
      </c>
      <c r="B327" s="299" t="s">
        <v>63</v>
      </c>
      <c r="C327" s="299" t="s">
        <v>25</v>
      </c>
      <c r="D327" s="299" t="s">
        <v>38</v>
      </c>
      <c r="E327" s="299" t="s">
        <v>84</v>
      </c>
      <c r="F327" s="350" t="s">
        <v>39</v>
      </c>
      <c r="G327" s="350" t="s">
        <v>75</v>
      </c>
      <c r="H327" s="299" t="s">
        <v>71</v>
      </c>
      <c r="I327" s="299">
        <v>3</v>
      </c>
      <c r="J327" s="311">
        <v>1712528.2124999999</v>
      </c>
      <c r="K327" s="300">
        <f t="shared" ref="K327:K346" si="219">IF(J327="",1,((L327/J327)-1))</f>
        <v>8.0274173877296073E-2</v>
      </c>
      <c r="L327" s="311">
        <f>IF(H327="OTRO",(J327*1.05),VLOOKUP((I327&amp;H327),'ESCALAS Salarios'!$D$2:$F$30,3,0))</f>
        <v>1850000</v>
      </c>
      <c r="M327" s="299">
        <v>1</v>
      </c>
      <c r="N327" s="299" t="s">
        <v>485</v>
      </c>
      <c r="O327" s="250">
        <v>45488</v>
      </c>
      <c r="P327" s="377">
        <v>45624</v>
      </c>
      <c r="Q327" s="312">
        <v>0</v>
      </c>
      <c r="R327" s="250"/>
      <c r="S327" s="317"/>
      <c r="T327" s="312">
        <f t="shared" ref="T327:T346" si="220">IF($N327="MENSUAL",ROUND((((S327-R327))/30),0)*$L327,((S327-R327)/30)*$L327)</f>
        <v>0</v>
      </c>
      <c r="U327" s="318">
        <f t="shared" ref="U327:U346" si="221">ROUND((((P327-O327)+(S327-R327))/30),0)</f>
        <v>5</v>
      </c>
      <c r="V327" s="312">
        <v>0</v>
      </c>
      <c r="W327" s="313">
        <v>16954029.303750001</v>
      </c>
      <c r="X327" s="353">
        <f t="shared" ref="X327:X345" si="222">IF(W327="",1,IF(W327=0,1,((V327/W327)-1)))</f>
        <v>-1</v>
      </c>
      <c r="Y327" s="375">
        <v>1032401108</v>
      </c>
      <c r="Z327" s="376" t="s">
        <v>433</v>
      </c>
      <c r="AA327" s="356">
        <v>0</v>
      </c>
      <c r="AB327" s="270" t="s">
        <v>243</v>
      </c>
      <c r="AC327" s="393" t="s">
        <v>15</v>
      </c>
      <c r="AD327" s="358" t="s">
        <v>361</v>
      </c>
      <c r="AE327" s="358" t="s">
        <v>244</v>
      </c>
      <c r="AF327" s="359" t="str">
        <f t="shared" ref="AF327:AF346" si="223">"CON-"&amp;A327</f>
        <v>CON-325</v>
      </c>
      <c r="AG327" s="270">
        <v>80111600</v>
      </c>
      <c r="AH327" s="249" t="s">
        <v>177</v>
      </c>
      <c r="AI327" s="301">
        <f t="shared" ref="AI327:AI346" si="224">+O327</f>
        <v>45488</v>
      </c>
      <c r="AJ327" s="301">
        <f t="shared" ref="AJ327:AJ346" si="225">+AI327</f>
        <v>45488</v>
      </c>
      <c r="AK327" s="302">
        <f t="shared" ref="AK327:AK346" si="226">+U327</f>
        <v>5</v>
      </c>
      <c r="AL327" s="303" t="s">
        <v>241</v>
      </c>
      <c r="AM327" s="304" t="s">
        <v>242</v>
      </c>
      <c r="AN327" s="305">
        <f t="shared" ref="AN327:AN346" si="227">+V327</f>
        <v>0</v>
      </c>
      <c r="AO327" s="305">
        <f t="shared" ref="AO327:AO346" si="228">+AN327</f>
        <v>0</v>
      </c>
      <c r="AP327" s="303" t="s">
        <v>244</v>
      </c>
      <c r="AQ327" s="303" t="s">
        <v>245</v>
      </c>
      <c r="AR327" s="360" t="s">
        <v>246</v>
      </c>
      <c r="AS327" s="306" t="s">
        <v>247</v>
      </c>
      <c r="AT327" s="307" t="str">
        <f t="shared" ref="AT327:AT343" si="229">D327</f>
        <v>SUBDIRECCIÓN DE BIENESTAR UNIVERSITARIO</v>
      </c>
      <c r="AU327" s="308" t="s">
        <v>248</v>
      </c>
      <c r="AV327" s="361" t="s">
        <v>249</v>
      </c>
      <c r="AW327" s="303" t="s">
        <v>244</v>
      </c>
      <c r="AX327" s="303" t="s">
        <v>244</v>
      </c>
      <c r="AY327" s="362" t="s">
        <v>250</v>
      </c>
      <c r="AZ327" s="363" t="s">
        <v>251</v>
      </c>
      <c r="BA327" s="363" t="s">
        <v>252</v>
      </c>
      <c r="BB327" s="363" t="s">
        <v>250</v>
      </c>
      <c r="BC327" s="363"/>
      <c r="BD327" s="363"/>
    </row>
    <row r="328" spans="1:56" ht="60" x14ac:dyDescent="0.2">
      <c r="A328" s="257">
        <v>326</v>
      </c>
      <c r="B328" s="299" t="s">
        <v>63</v>
      </c>
      <c r="C328" s="299" t="s">
        <v>25</v>
      </c>
      <c r="D328" s="299" t="s">
        <v>38</v>
      </c>
      <c r="E328" s="299" t="s">
        <v>84</v>
      </c>
      <c r="F328" s="350" t="s">
        <v>39</v>
      </c>
      <c r="G328" s="350" t="s">
        <v>75</v>
      </c>
      <c r="H328" s="299" t="s">
        <v>71</v>
      </c>
      <c r="I328" s="299">
        <v>3</v>
      </c>
      <c r="J328" s="311">
        <v>1712528.2124999999</v>
      </c>
      <c r="K328" s="300">
        <f t="shared" si="219"/>
        <v>8.0274173877296073E-2</v>
      </c>
      <c r="L328" s="311">
        <f>IF(H328="OTRO",(J328*1.05),VLOOKUP((I328&amp;H328),'ESCALAS Salarios'!$D$2:$F$30,3,0))</f>
        <v>1850000</v>
      </c>
      <c r="M328" s="299">
        <v>1</v>
      </c>
      <c r="N328" s="299" t="s">
        <v>485</v>
      </c>
      <c r="O328" s="250">
        <v>45517</v>
      </c>
      <c r="P328" s="377">
        <v>45624</v>
      </c>
      <c r="Q328" s="312">
        <v>6598333.333333334</v>
      </c>
      <c r="R328" s="250"/>
      <c r="S328" s="317"/>
      <c r="T328" s="312">
        <f t="shared" si="220"/>
        <v>0</v>
      </c>
      <c r="U328" s="318">
        <f t="shared" si="221"/>
        <v>4</v>
      </c>
      <c r="V328" s="312">
        <f t="shared" ref="V328:V346" si="230">+Q328+T328</f>
        <v>6598333.333333334</v>
      </c>
      <c r="W328" s="313">
        <f>6621775.755*2.075</f>
        <v>13740184.691625001</v>
      </c>
      <c r="X328" s="353">
        <f t="shared" si="222"/>
        <v>-0.51977841044922857</v>
      </c>
      <c r="Y328" s="375">
        <v>1072713023</v>
      </c>
      <c r="Z328" s="376" t="s">
        <v>434</v>
      </c>
      <c r="AA328" s="356">
        <f t="shared" ref="AA328:AA346" si="231">+V328</f>
        <v>6598333.333333334</v>
      </c>
      <c r="AB328" s="270" t="s">
        <v>243</v>
      </c>
      <c r="AC328" s="393" t="s">
        <v>15</v>
      </c>
      <c r="AD328" s="358" t="s">
        <v>361</v>
      </c>
      <c r="AE328" s="358" t="s">
        <v>244</v>
      </c>
      <c r="AF328" s="359" t="str">
        <f t="shared" si="223"/>
        <v>CON-326</v>
      </c>
      <c r="AG328" s="270">
        <v>80111600</v>
      </c>
      <c r="AH328" s="249" t="s">
        <v>178</v>
      </c>
      <c r="AI328" s="301">
        <f t="shared" si="224"/>
        <v>45517</v>
      </c>
      <c r="AJ328" s="301">
        <f t="shared" si="225"/>
        <v>45517</v>
      </c>
      <c r="AK328" s="302">
        <f t="shared" si="226"/>
        <v>4</v>
      </c>
      <c r="AL328" s="303" t="s">
        <v>241</v>
      </c>
      <c r="AM328" s="304" t="s">
        <v>242</v>
      </c>
      <c r="AN328" s="305">
        <f t="shared" si="227"/>
        <v>6598333.333333334</v>
      </c>
      <c r="AO328" s="305">
        <f t="shared" si="228"/>
        <v>6598333.333333334</v>
      </c>
      <c r="AP328" s="303" t="s">
        <v>244</v>
      </c>
      <c r="AQ328" s="303" t="s">
        <v>245</v>
      </c>
      <c r="AR328" s="360" t="s">
        <v>246</v>
      </c>
      <c r="AS328" s="306" t="s">
        <v>247</v>
      </c>
      <c r="AT328" s="307" t="str">
        <f t="shared" si="229"/>
        <v>SUBDIRECCIÓN DE BIENESTAR UNIVERSITARIO</v>
      </c>
      <c r="AU328" s="308" t="s">
        <v>248</v>
      </c>
      <c r="AV328" s="361" t="s">
        <v>249</v>
      </c>
      <c r="AW328" s="303" t="s">
        <v>244</v>
      </c>
      <c r="AX328" s="303" t="s">
        <v>244</v>
      </c>
      <c r="AY328" s="362" t="s">
        <v>250</v>
      </c>
      <c r="AZ328" s="363" t="s">
        <v>251</v>
      </c>
      <c r="BA328" s="363" t="s">
        <v>252</v>
      </c>
      <c r="BB328" s="363" t="s">
        <v>250</v>
      </c>
      <c r="BC328" s="363"/>
      <c r="BD328" s="363"/>
    </row>
    <row r="329" spans="1:56" ht="60" x14ac:dyDescent="0.2">
      <c r="A329" s="257">
        <v>327</v>
      </c>
      <c r="B329" s="299" t="s">
        <v>63</v>
      </c>
      <c r="C329" s="299" t="s">
        <v>25</v>
      </c>
      <c r="D329" s="299" t="s">
        <v>38</v>
      </c>
      <c r="E329" s="299" t="s">
        <v>84</v>
      </c>
      <c r="F329" s="350" t="s">
        <v>39</v>
      </c>
      <c r="G329" s="350" t="s">
        <v>75</v>
      </c>
      <c r="H329" s="299" t="s">
        <v>71</v>
      </c>
      <c r="I329" s="299">
        <v>3</v>
      </c>
      <c r="J329" s="311">
        <v>1712528.2124999999</v>
      </c>
      <c r="K329" s="300">
        <f t="shared" si="219"/>
        <v>8.0274173877296073E-2</v>
      </c>
      <c r="L329" s="311">
        <f>IF(H329="OTRO",(J329*1.05),VLOOKUP((I329&amp;H329),'ESCALAS Salarios'!$D$2:$F$30,3,0))</f>
        <v>1850000</v>
      </c>
      <c r="M329" s="299">
        <v>1</v>
      </c>
      <c r="N329" s="299" t="s">
        <v>485</v>
      </c>
      <c r="O329" s="250">
        <v>45517</v>
      </c>
      <c r="P329" s="377">
        <v>45624</v>
      </c>
      <c r="Q329" s="312">
        <v>6598333.333333334</v>
      </c>
      <c r="R329" s="250"/>
      <c r="S329" s="317"/>
      <c r="T329" s="312">
        <f t="shared" si="220"/>
        <v>0</v>
      </c>
      <c r="U329" s="318">
        <f t="shared" si="221"/>
        <v>4</v>
      </c>
      <c r="V329" s="312">
        <f t="shared" si="230"/>
        <v>6598333.333333334</v>
      </c>
      <c r="W329" s="313">
        <f t="shared" ref="W329:W343" si="232">6621775.755*2.075</f>
        <v>13740184.691625001</v>
      </c>
      <c r="X329" s="353">
        <f t="shared" si="222"/>
        <v>-0.51977841044922857</v>
      </c>
      <c r="Y329" s="375">
        <v>1075669700</v>
      </c>
      <c r="Z329" s="376" t="s">
        <v>435</v>
      </c>
      <c r="AA329" s="356">
        <f t="shared" si="231"/>
        <v>6598333.333333334</v>
      </c>
      <c r="AB329" s="270" t="s">
        <v>243</v>
      </c>
      <c r="AC329" s="393" t="s">
        <v>15</v>
      </c>
      <c r="AD329" s="358" t="s">
        <v>361</v>
      </c>
      <c r="AE329" s="358" t="s">
        <v>244</v>
      </c>
      <c r="AF329" s="359" t="str">
        <f t="shared" si="223"/>
        <v>CON-327</v>
      </c>
      <c r="AG329" s="270">
        <v>80111600</v>
      </c>
      <c r="AH329" s="249" t="s">
        <v>179</v>
      </c>
      <c r="AI329" s="301">
        <f t="shared" si="224"/>
        <v>45517</v>
      </c>
      <c r="AJ329" s="301">
        <f t="shared" si="225"/>
        <v>45517</v>
      </c>
      <c r="AK329" s="302">
        <f t="shared" si="226"/>
        <v>4</v>
      </c>
      <c r="AL329" s="303" t="s">
        <v>241</v>
      </c>
      <c r="AM329" s="304" t="s">
        <v>242</v>
      </c>
      <c r="AN329" s="305">
        <f t="shared" si="227"/>
        <v>6598333.333333334</v>
      </c>
      <c r="AO329" s="305">
        <f t="shared" si="228"/>
        <v>6598333.333333334</v>
      </c>
      <c r="AP329" s="303" t="s">
        <v>244</v>
      </c>
      <c r="AQ329" s="303" t="s">
        <v>245</v>
      </c>
      <c r="AR329" s="360" t="s">
        <v>246</v>
      </c>
      <c r="AS329" s="306" t="s">
        <v>247</v>
      </c>
      <c r="AT329" s="307" t="str">
        <f t="shared" si="229"/>
        <v>SUBDIRECCIÓN DE BIENESTAR UNIVERSITARIO</v>
      </c>
      <c r="AU329" s="308" t="s">
        <v>248</v>
      </c>
      <c r="AV329" s="361" t="s">
        <v>249</v>
      </c>
      <c r="AW329" s="303" t="s">
        <v>244</v>
      </c>
      <c r="AX329" s="303" t="s">
        <v>244</v>
      </c>
      <c r="AY329" s="362" t="s">
        <v>250</v>
      </c>
      <c r="AZ329" s="363" t="s">
        <v>251</v>
      </c>
      <c r="BA329" s="363" t="s">
        <v>252</v>
      </c>
      <c r="BB329" s="363" t="s">
        <v>250</v>
      </c>
      <c r="BC329" s="363"/>
      <c r="BD329" s="363"/>
    </row>
    <row r="330" spans="1:56" ht="60" x14ac:dyDescent="0.2">
      <c r="A330" s="257">
        <v>328</v>
      </c>
      <c r="B330" s="299" t="s">
        <v>63</v>
      </c>
      <c r="C330" s="299" t="s">
        <v>25</v>
      </c>
      <c r="D330" s="299" t="s">
        <v>38</v>
      </c>
      <c r="E330" s="299" t="s">
        <v>84</v>
      </c>
      <c r="F330" s="350" t="s">
        <v>39</v>
      </c>
      <c r="G330" s="350" t="s">
        <v>75</v>
      </c>
      <c r="H330" s="299" t="s">
        <v>71</v>
      </c>
      <c r="I330" s="299">
        <v>3</v>
      </c>
      <c r="J330" s="311">
        <v>1712528.2124999999</v>
      </c>
      <c r="K330" s="300">
        <f t="shared" si="219"/>
        <v>8.0274173877296073E-2</v>
      </c>
      <c r="L330" s="311">
        <f>IF(H330="OTRO",(J330*1.05),VLOOKUP((I330&amp;H330),'ESCALAS Salarios'!$D$2:$F$30,3,0))</f>
        <v>1850000</v>
      </c>
      <c r="M330" s="299">
        <v>1</v>
      </c>
      <c r="N330" s="299" t="s">
        <v>485</v>
      </c>
      <c r="O330" s="250">
        <v>45517</v>
      </c>
      <c r="P330" s="377">
        <v>45624</v>
      </c>
      <c r="Q330" s="312">
        <v>6598333.333333334</v>
      </c>
      <c r="R330" s="250"/>
      <c r="S330" s="317"/>
      <c r="T330" s="312">
        <f t="shared" si="220"/>
        <v>0</v>
      </c>
      <c r="U330" s="318">
        <f t="shared" si="221"/>
        <v>4</v>
      </c>
      <c r="V330" s="312">
        <f t="shared" si="230"/>
        <v>6598333.333333334</v>
      </c>
      <c r="W330" s="313">
        <f t="shared" si="232"/>
        <v>13740184.691625001</v>
      </c>
      <c r="X330" s="353">
        <f t="shared" si="222"/>
        <v>-0.51977841044922857</v>
      </c>
      <c r="Y330" s="375">
        <v>80747625</v>
      </c>
      <c r="Z330" s="376" t="s">
        <v>436</v>
      </c>
      <c r="AA330" s="356">
        <f t="shared" si="231"/>
        <v>6598333.333333334</v>
      </c>
      <c r="AB330" s="270" t="s">
        <v>243</v>
      </c>
      <c r="AC330" s="393" t="s">
        <v>15</v>
      </c>
      <c r="AD330" s="358" t="s">
        <v>361</v>
      </c>
      <c r="AE330" s="358" t="s">
        <v>244</v>
      </c>
      <c r="AF330" s="359" t="str">
        <f t="shared" si="223"/>
        <v>CON-328</v>
      </c>
      <c r="AG330" s="270">
        <v>80111600</v>
      </c>
      <c r="AH330" s="249" t="s">
        <v>180</v>
      </c>
      <c r="AI330" s="301">
        <f t="shared" si="224"/>
        <v>45517</v>
      </c>
      <c r="AJ330" s="301">
        <f t="shared" si="225"/>
        <v>45517</v>
      </c>
      <c r="AK330" s="302">
        <f t="shared" si="226"/>
        <v>4</v>
      </c>
      <c r="AL330" s="303" t="s">
        <v>241</v>
      </c>
      <c r="AM330" s="304" t="s">
        <v>242</v>
      </c>
      <c r="AN330" s="305">
        <f t="shared" si="227"/>
        <v>6598333.333333334</v>
      </c>
      <c r="AO330" s="305">
        <f t="shared" si="228"/>
        <v>6598333.333333334</v>
      </c>
      <c r="AP330" s="303" t="s">
        <v>244</v>
      </c>
      <c r="AQ330" s="303" t="s">
        <v>245</v>
      </c>
      <c r="AR330" s="360" t="s">
        <v>246</v>
      </c>
      <c r="AS330" s="306" t="s">
        <v>247</v>
      </c>
      <c r="AT330" s="307" t="str">
        <f t="shared" si="229"/>
        <v>SUBDIRECCIÓN DE BIENESTAR UNIVERSITARIO</v>
      </c>
      <c r="AU330" s="308" t="s">
        <v>248</v>
      </c>
      <c r="AV330" s="361" t="s">
        <v>249</v>
      </c>
      <c r="AW330" s="303" t="s">
        <v>244</v>
      </c>
      <c r="AX330" s="303" t="s">
        <v>244</v>
      </c>
      <c r="AY330" s="362" t="s">
        <v>250</v>
      </c>
      <c r="AZ330" s="363" t="s">
        <v>251</v>
      </c>
      <c r="BA330" s="363" t="s">
        <v>252</v>
      </c>
      <c r="BB330" s="363" t="s">
        <v>250</v>
      </c>
      <c r="BC330" s="363"/>
      <c r="BD330" s="363"/>
    </row>
    <row r="331" spans="1:56" ht="86.25" customHeight="1" x14ac:dyDescent="0.2">
      <c r="A331" s="257">
        <v>329</v>
      </c>
      <c r="B331" s="299" t="s">
        <v>63</v>
      </c>
      <c r="C331" s="299" t="s">
        <v>25</v>
      </c>
      <c r="D331" s="299" t="s">
        <v>38</v>
      </c>
      <c r="E331" s="299" t="s">
        <v>84</v>
      </c>
      <c r="F331" s="350" t="s">
        <v>39</v>
      </c>
      <c r="G331" s="350" t="s">
        <v>75</v>
      </c>
      <c r="H331" s="299" t="s">
        <v>71</v>
      </c>
      <c r="I331" s="299">
        <v>3</v>
      </c>
      <c r="J331" s="311">
        <v>1712528.2124999999</v>
      </c>
      <c r="K331" s="300">
        <f t="shared" si="219"/>
        <v>8.0274173877296073E-2</v>
      </c>
      <c r="L331" s="311">
        <f>IF(H331="OTRO",(J331*1.05),VLOOKUP((I331&amp;H331),'ESCALAS Salarios'!$D$2:$F$30,3,0))</f>
        <v>1850000</v>
      </c>
      <c r="M331" s="299">
        <v>1</v>
      </c>
      <c r="N331" s="299" t="s">
        <v>485</v>
      </c>
      <c r="O331" s="250">
        <v>45517</v>
      </c>
      <c r="P331" s="377">
        <v>45624</v>
      </c>
      <c r="Q331" s="312">
        <v>6598333.333333334</v>
      </c>
      <c r="R331" s="250"/>
      <c r="S331" s="317"/>
      <c r="T331" s="312">
        <f t="shared" si="220"/>
        <v>0</v>
      </c>
      <c r="U331" s="318">
        <f t="shared" si="221"/>
        <v>4</v>
      </c>
      <c r="V331" s="312">
        <f t="shared" si="230"/>
        <v>6598333.333333334</v>
      </c>
      <c r="W331" s="313">
        <f t="shared" si="232"/>
        <v>13740184.691625001</v>
      </c>
      <c r="X331" s="353">
        <f t="shared" si="222"/>
        <v>-0.51977841044922857</v>
      </c>
      <c r="Y331" s="375">
        <v>1031125970</v>
      </c>
      <c r="Z331" s="376" t="s">
        <v>437</v>
      </c>
      <c r="AA331" s="356">
        <f t="shared" si="231"/>
        <v>6598333.333333334</v>
      </c>
      <c r="AB331" s="270" t="s">
        <v>243</v>
      </c>
      <c r="AC331" s="393" t="s">
        <v>15</v>
      </c>
      <c r="AD331" s="358" t="s">
        <v>361</v>
      </c>
      <c r="AE331" s="358" t="s">
        <v>244</v>
      </c>
      <c r="AF331" s="359" t="str">
        <f t="shared" si="223"/>
        <v>CON-329</v>
      </c>
      <c r="AG331" s="270">
        <v>80111600</v>
      </c>
      <c r="AH331" s="249" t="s">
        <v>181</v>
      </c>
      <c r="AI331" s="301">
        <f t="shared" si="224"/>
        <v>45517</v>
      </c>
      <c r="AJ331" s="301">
        <f t="shared" si="225"/>
        <v>45517</v>
      </c>
      <c r="AK331" s="302">
        <f t="shared" si="226"/>
        <v>4</v>
      </c>
      <c r="AL331" s="303" t="s">
        <v>241</v>
      </c>
      <c r="AM331" s="304" t="s">
        <v>242</v>
      </c>
      <c r="AN331" s="305">
        <f t="shared" si="227"/>
        <v>6598333.333333334</v>
      </c>
      <c r="AO331" s="305">
        <f t="shared" si="228"/>
        <v>6598333.333333334</v>
      </c>
      <c r="AP331" s="303" t="s">
        <v>244</v>
      </c>
      <c r="AQ331" s="303" t="s">
        <v>245</v>
      </c>
      <c r="AR331" s="360" t="s">
        <v>246</v>
      </c>
      <c r="AS331" s="306" t="s">
        <v>247</v>
      </c>
      <c r="AT331" s="307" t="str">
        <f t="shared" si="229"/>
        <v>SUBDIRECCIÓN DE BIENESTAR UNIVERSITARIO</v>
      </c>
      <c r="AU331" s="308" t="s">
        <v>248</v>
      </c>
      <c r="AV331" s="361" t="s">
        <v>249</v>
      </c>
      <c r="AW331" s="303" t="s">
        <v>244</v>
      </c>
      <c r="AX331" s="303" t="s">
        <v>244</v>
      </c>
      <c r="AY331" s="362" t="s">
        <v>250</v>
      </c>
      <c r="AZ331" s="363" t="s">
        <v>251</v>
      </c>
      <c r="BA331" s="363" t="s">
        <v>252</v>
      </c>
      <c r="BB331" s="363" t="s">
        <v>250</v>
      </c>
      <c r="BC331" s="363"/>
      <c r="BD331" s="363"/>
    </row>
    <row r="332" spans="1:56" ht="60" x14ac:dyDescent="0.2">
      <c r="A332" s="257">
        <v>330</v>
      </c>
      <c r="B332" s="299" t="s">
        <v>63</v>
      </c>
      <c r="C332" s="299" t="s">
        <v>25</v>
      </c>
      <c r="D332" s="299" t="s">
        <v>38</v>
      </c>
      <c r="E332" s="299" t="s">
        <v>84</v>
      </c>
      <c r="F332" s="350" t="s">
        <v>39</v>
      </c>
      <c r="G332" s="350" t="s">
        <v>75</v>
      </c>
      <c r="H332" s="299" t="s">
        <v>71</v>
      </c>
      <c r="I332" s="299">
        <v>3</v>
      </c>
      <c r="J332" s="311">
        <v>1712528.2124999999</v>
      </c>
      <c r="K332" s="300">
        <f t="shared" si="219"/>
        <v>8.0274173877296073E-2</v>
      </c>
      <c r="L332" s="311">
        <f>IF(H332="OTRO",(J332*1.05),VLOOKUP((I332&amp;H332),'ESCALAS Salarios'!$D$2:$F$30,3,0))</f>
        <v>1850000</v>
      </c>
      <c r="M332" s="299">
        <v>1</v>
      </c>
      <c r="N332" s="299" t="s">
        <v>485</v>
      </c>
      <c r="O332" s="250">
        <v>45517</v>
      </c>
      <c r="P332" s="377">
        <v>45624</v>
      </c>
      <c r="Q332" s="312">
        <v>6598333.333333334</v>
      </c>
      <c r="R332" s="250"/>
      <c r="S332" s="317"/>
      <c r="T332" s="312">
        <f t="shared" si="220"/>
        <v>0</v>
      </c>
      <c r="U332" s="318">
        <f t="shared" si="221"/>
        <v>4</v>
      </c>
      <c r="V332" s="312">
        <f t="shared" si="230"/>
        <v>6598333.333333334</v>
      </c>
      <c r="W332" s="313">
        <f t="shared" si="232"/>
        <v>13740184.691625001</v>
      </c>
      <c r="X332" s="353">
        <f t="shared" si="222"/>
        <v>-0.51977841044922857</v>
      </c>
      <c r="Y332" s="375">
        <v>79922642</v>
      </c>
      <c r="Z332" s="376" t="s">
        <v>438</v>
      </c>
      <c r="AA332" s="356">
        <f t="shared" si="231"/>
        <v>6598333.333333334</v>
      </c>
      <c r="AB332" s="270" t="s">
        <v>243</v>
      </c>
      <c r="AC332" s="393" t="s">
        <v>15</v>
      </c>
      <c r="AD332" s="358" t="s">
        <v>361</v>
      </c>
      <c r="AE332" s="358" t="s">
        <v>244</v>
      </c>
      <c r="AF332" s="359" t="str">
        <f t="shared" si="223"/>
        <v>CON-330</v>
      </c>
      <c r="AG332" s="270">
        <v>80111600</v>
      </c>
      <c r="AH332" s="249" t="s">
        <v>182</v>
      </c>
      <c r="AI332" s="301">
        <f t="shared" si="224"/>
        <v>45517</v>
      </c>
      <c r="AJ332" s="301">
        <f t="shared" si="225"/>
        <v>45517</v>
      </c>
      <c r="AK332" s="302">
        <f t="shared" si="226"/>
        <v>4</v>
      </c>
      <c r="AL332" s="303" t="s">
        <v>241</v>
      </c>
      <c r="AM332" s="304" t="s">
        <v>242</v>
      </c>
      <c r="AN332" s="305">
        <f t="shared" si="227"/>
        <v>6598333.333333334</v>
      </c>
      <c r="AO332" s="305">
        <f t="shared" si="228"/>
        <v>6598333.333333334</v>
      </c>
      <c r="AP332" s="303" t="s">
        <v>244</v>
      </c>
      <c r="AQ332" s="303" t="s">
        <v>245</v>
      </c>
      <c r="AR332" s="360" t="s">
        <v>246</v>
      </c>
      <c r="AS332" s="306" t="s">
        <v>247</v>
      </c>
      <c r="AT332" s="307" t="str">
        <f t="shared" si="229"/>
        <v>SUBDIRECCIÓN DE BIENESTAR UNIVERSITARIO</v>
      </c>
      <c r="AU332" s="308" t="s">
        <v>248</v>
      </c>
      <c r="AV332" s="361" t="s">
        <v>249</v>
      </c>
      <c r="AW332" s="303" t="s">
        <v>244</v>
      </c>
      <c r="AX332" s="303" t="s">
        <v>244</v>
      </c>
      <c r="AY332" s="362" t="s">
        <v>250</v>
      </c>
      <c r="AZ332" s="363" t="s">
        <v>251</v>
      </c>
      <c r="BA332" s="363" t="s">
        <v>252</v>
      </c>
      <c r="BB332" s="363" t="s">
        <v>250</v>
      </c>
      <c r="BC332" s="363"/>
      <c r="BD332" s="363"/>
    </row>
    <row r="333" spans="1:56" ht="60" x14ac:dyDescent="0.2">
      <c r="A333" s="257">
        <v>331</v>
      </c>
      <c r="B333" s="299" t="s">
        <v>63</v>
      </c>
      <c r="C333" s="299" t="s">
        <v>25</v>
      </c>
      <c r="D333" s="299" t="s">
        <v>38</v>
      </c>
      <c r="E333" s="299" t="s">
        <v>84</v>
      </c>
      <c r="F333" s="350" t="s">
        <v>39</v>
      </c>
      <c r="G333" s="350" t="s">
        <v>75</v>
      </c>
      <c r="H333" s="299" t="s">
        <v>71</v>
      </c>
      <c r="I333" s="299">
        <v>3</v>
      </c>
      <c r="J333" s="311">
        <v>1712528.2124999999</v>
      </c>
      <c r="K333" s="300">
        <f t="shared" si="219"/>
        <v>8.0274173877296073E-2</v>
      </c>
      <c r="L333" s="311">
        <f>IF(H333="OTRO",(J333*1.05),VLOOKUP((I333&amp;H333),'ESCALAS Salarios'!$D$2:$F$30,3,0))</f>
        <v>1850000</v>
      </c>
      <c r="M333" s="299">
        <v>1</v>
      </c>
      <c r="N333" s="299" t="s">
        <v>485</v>
      </c>
      <c r="O333" s="250">
        <v>45517</v>
      </c>
      <c r="P333" s="377">
        <v>45624</v>
      </c>
      <c r="Q333" s="312">
        <v>6598333.333333334</v>
      </c>
      <c r="R333" s="250"/>
      <c r="S333" s="317"/>
      <c r="T333" s="312">
        <f t="shared" si="220"/>
        <v>0</v>
      </c>
      <c r="U333" s="318">
        <f t="shared" si="221"/>
        <v>4</v>
      </c>
      <c r="V333" s="312">
        <f t="shared" si="230"/>
        <v>6598333.333333334</v>
      </c>
      <c r="W333" s="313">
        <f t="shared" si="232"/>
        <v>13740184.691625001</v>
      </c>
      <c r="X333" s="353">
        <f t="shared" si="222"/>
        <v>-0.51977841044922857</v>
      </c>
      <c r="Y333" s="375">
        <v>79650621</v>
      </c>
      <c r="Z333" s="376" t="s">
        <v>439</v>
      </c>
      <c r="AA333" s="356">
        <f t="shared" si="231"/>
        <v>6598333.333333334</v>
      </c>
      <c r="AB333" s="270" t="s">
        <v>243</v>
      </c>
      <c r="AC333" s="393" t="s">
        <v>15</v>
      </c>
      <c r="AD333" s="358" t="s">
        <v>361</v>
      </c>
      <c r="AE333" s="358" t="s">
        <v>244</v>
      </c>
      <c r="AF333" s="359" t="str">
        <f t="shared" si="223"/>
        <v>CON-331</v>
      </c>
      <c r="AG333" s="270">
        <v>80111600</v>
      </c>
      <c r="AH333" s="249" t="s">
        <v>183</v>
      </c>
      <c r="AI333" s="301">
        <f t="shared" si="224"/>
        <v>45517</v>
      </c>
      <c r="AJ333" s="301">
        <f t="shared" si="225"/>
        <v>45517</v>
      </c>
      <c r="AK333" s="302">
        <f t="shared" si="226"/>
        <v>4</v>
      </c>
      <c r="AL333" s="303" t="s">
        <v>241</v>
      </c>
      <c r="AM333" s="304" t="s">
        <v>242</v>
      </c>
      <c r="AN333" s="305">
        <f t="shared" si="227"/>
        <v>6598333.333333334</v>
      </c>
      <c r="AO333" s="305">
        <f t="shared" si="228"/>
        <v>6598333.333333334</v>
      </c>
      <c r="AP333" s="303" t="s">
        <v>244</v>
      </c>
      <c r="AQ333" s="303" t="s">
        <v>245</v>
      </c>
      <c r="AR333" s="360" t="s">
        <v>246</v>
      </c>
      <c r="AS333" s="306" t="s">
        <v>247</v>
      </c>
      <c r="AT333" s="307" t="str">
        <f t="shared" si="229"/>
        <v>SUBDIRECCIÓN DE BIENESTAR UNIVERSITARIO</v>
      </c>
      <c r="AU333" s="308" t="s">
        <v>248</v>
      </c>
      <c r="AV333" s="361" t="s">
        <v>249</v>
      </c>
      <c r="AW333" s="303" t="s">
        <v>244</v>
      </c>
      <c r="AX333" s="303" t="s">
        <v>244</v>
      </c>
      <c r="AY333" s="362" t="s">
        <v>250</v>
      </c>
      <c r="AZ333" s="363" t="s">
        <v>251</v>
      </c>
      <c r="BA333" s="363" t="s">
        <v>252</v>
      </c>
      <c r="BB333" s="363" t="s">
        <v>250</v>
      </c>
      <c r="BC333" s="363"/>
      <c r="BD333" s="363"/>
    </row>
    <row r="334" spans="1:56" ht="60" x14ac:dyDescent="0.2">
      <c r="A334" s="257">
        <v>332</v>
      </c>
      <c r="B334" s="299" t="s">
        <v>63</v>
      </c>
      <c r="C334" s="299" t="s">
        <v>25</v>
      </c>
      <c r="D334" s="299" t="s">
        <v>38</v>
      </c>
      <c r="E334" s="299" t="s">
        <v>84</v>
      </c>
      <c r="F334" s="350" t="s">
        <v>39</v>
      </c>
      <c r="G334" s="350" t="s">
        <v>75</v>
      </c>
      <c r="H334" s="299" t="s">
        <v>71</v>
      </c>
      <c r="I334" s="299">
        <v>3</v>
      </c>
      <c r="J334" s="311">
        <v>1712528.2124999999</v>
      </c>
      <c r="K334" s="300">
        <f t="shared" si="219"/>
        <v>8.0274173877296073E-2</v>
      </c>
      <c r="L334" s="311">
        <f>IF(H334="OTRO",(J334*1.05),VLOOKUP((I334&amp;H334),'ESCALAS Salarios'!$D$2:$F$30,3,0))</f>
        <v>1850000</v>
      </c>
      <c r="M334" s="299">
        <v>1</v>
      </c>
      <c r="N334" s="299" t="s">
        <v>485</v>
      </c>
      <c r="O334" s="250">
        <v>45517</v>
      </c>
      <c r="P334" s="377">
        <v>45624</v>
      </c>
      <c r="Q334" s="312">
        <v>6598333.333333334</v>
      </c>
      <c r="R334" s="250"/>
      <c r="S334" s="317"/>
      <c r="T334" s="312">
        <f t="shared" si="220"/>
        <v>0</v>
      </c>
      <c r="U334" s="318">
        <f t="shared" si="221"/>
        <v>4</v>
      </c>
      <c r="V334" s="312">
        <f t="shared" si="230"/>
        <v>6598333.333333334</v>
      </c>
      <c r="W334" s="313">
        <f t="shared" si="232"/>
        <v>13740184.691625001</v>
      </c>
      <c r="X334" s="353">
        <f t="shared" si="222"/>
        <v>-0.51977841044922857</v>
      </c>
      <c r="Y334" s="375">
        <v>79624088</v>
      </c>
      <c r="Z334" s="376" t="s">
        <v>440</v>
      </c>
      <c r="AA334" s="356">
        <f t="shared" si="231"/>
        <v>6598333.333333334</v>
      </c>
      <c r="AB334" s="270" t="s">
        <v>243</v>
      </c>
      <c r="AC334" s="393" t="s">
        <v>15</v>
      </c>
      <c r="AD334" s="358" t="s">
        <v>361</v>
      </c>
      <c r="AE334" s="358" t="s">
        <v>244</v>
      </c>
      <c r="AF334" s="359" t="str">
        <f t="shared" si="223"/>
        <v>CON-332</v>
      </c>
      <c r="AG334" s="270">
        <v>80111600</v>
      </c>
      <c r="AH334" s="249" t="s">
        <v>184</v>
      </c>
      <c r="AI334" s="301">
        <f t="shared" si="224"/>
        <v>45517</v>
      </c>
      <c r="AJ334" s="301">
        <f t="shared" si="225"/>
        <v>45517</v>
      </c>
      <c r="AK334" s="302">
        <f t="shared" si="226"/>
        <v>4</v>
      </c>
      <c r="AL334" s="303" t="s">
        <v>241</v>
      </c>
      <c r="AM334" s="304" t="s">
        <v>242</v>
      </c>
      <c r="AN334" s="305">
        <f t="shared" si="227"/>
        <v>6598333.333333334</v>
      </c>
      <c r="AO334" s="305">
        <f t="shared" si="228"/>
        <v>6598333.333333334</v>
      </c>
      <c r="AP334" s="303" t="s">
        <v>244</v>
      </c>
      <c r="AQ334" s="303" t="s">
        <v>245</v>
      </c>
      <c r="AR334" s="360" t="s">
        <v>246</v>
      </c>
      <c r="AS334" s="306" t="s">
        <v>247</v>
      </c>
      <c r="AT334" s="307" t="str">
        <f t="shared" si="229"/>
        <v>SUBDIRECCIÓN DE BIENESTAR UNIVERSITARIO</v>
      </c>
      <c r="AU334" s="308" t="s">
        <v>248</v>
      </c>
      <c r="AV334" s="361" t="s">
        <v>249</v>
      </c>
      <c r="AW334" s="303" t="s">
        <v>244</v>
      </c>
      <c r="AX334" s="303" t="s">
        <v>244</v>
      </c>
      <c r="AY334" s="362" t="s">
        <v>250</v>
      </c>
      <c r="AZ334" s="363" t="s">
        <v>251</v>
      </c>
      <c r="BA334" s="363" t="s">
        <v>252</v>
      </c>
      <c r="BB334" s="363" t="s">
        <v>250</v>
      </c>
      <c r="BC334" s="363"/>
      <c r="BD334" s="363"/>
    </row>
    <row r="335" spans="1:56" ht="83.25" customHeight="1" x14ac:dyDescent="0.2">
      <c r="A335" s="257">
        <v>333</v>
      </c>
      <c r="B335" s="299" t="s">
        <v>63</v>
      </c>
      <c r="C335" s="299" t="s">
        <v>25</v>
      </c>
      <c r="D335" s="299" t="s">
        <v>38</v>
      </c>
      <c r="E335" s="299" t="s">
        <v>84</v>
      </c>
      <c r="F335" s="350" t="s">
        <v>39</v>
      </c>
      <c r="G335" s="350" t="s">
        <v>75</v>
      </c>
      <c r="H335" s="299" t="s">
        <v>71</v>
      </c>
      <c r="I335" s="299">
        <v>3</v>
      </c>
      <c r="J335" s="311">
        <v>1712528.2124999999</v>
      </c>
      <c r="K335" s="300">
        <f t="shared" si="219"/>
        <v>8.0274173877296073E-2</v>
      </c>
      <c r="L335" s="311">
        <f>IF(H335="OTRO",(J335*1.05),VLOOKUP((I335&amp;H335),'ESCALAS Salarios'!$D$2:$F$30,3,0))</f>
        <v>1850000</v>
      </c>
      <c r="M335" s="299">
        <v>1</v>
      </c>
      <c r="N335" s="299" t="s">
        <v>485</v>
      </c>
      <c r="O335" s="250">
        <v>45517</v>
      </c>
      <c r="P335" s="377">
        <v>45624</v>
      </c>
      <c r="Q335" s="312">
        <v>6598333.333333334</v>
      </c>
      <c r="R335" s="250"/>
      <c r="S335" s="317"/>
      <c r="T335" s="312">
        <f t="shared" si="220"/>
        <v>0</v>
      </c>
      <c r="U335" s="318">
        <f t="shared" si="221"/>
        <v>4</v>
      </c>
      <c r="V335" s="312">
        <f t="shared" si="230"/>
        <v>6598333.333333334</v>
      </c>
      <c r="W335" s="313">
        <f t="shared" si="232"/>
        <v>13740184.691625001</v>
      </c>
      <c r="X335" s="353">
        <f t="shared" si="222"/>
        <v>-0.51977841044922857</v>
      </c>
      <c r="Y335" s="375">
        <v>1073154394</v>
      </c>
      <c r="Z335" s="376" t="s">
        <v>441</v>
      </c>
      <c r="AA335" s="356">
        <f t="shared" si="231"/>
        <v>6598333.333333334</v>
      </c>
      <c r="AB335" s="270" t="s">
        <v>243</v>
      </c>
      <c r="AC335" s="393" t="s">
        <v>15</v>
      </c>
      <c r="AD335" s="358" t="s">
        <v>361</v>
      </c>
      <c r="AE335" s="358" t="s">
        <v>244</v>
      </c>
      <c r="AF335" s="359" t="str">
        <f t="shared" si="223"/>
        <v>CON-333</v>
      </c>
      <c r="AG335" s="270">
        <v>80111600</v>
      </c>
      <c r="AH335" s="249" t="s">
        <v>185</v>
      </c>
      <c r="AI335" s="301">
        <f t="shared" si="224"/>
        <v>45517</v>
      </c>
      <c r="AJ335" s="301">
        <f t="shared" si="225"/>
        <v>45517</v>
      </c>
      <c r="AK335" s="302">
        <f t="shared" si="226"/>
        <v>4</v>
      </c>
      <c r="AL335" s="303" t="s">
        <v>241</v>
      </c>
      <c r="AM335" s="304" t="s">
        <v>242</v>
      </c>
      <c r="AN335" s="305">
        <f t="shared" si="227"/>
        <v>6598333.333333334</v>
      </c>
      <c r="AO335" s="305">
        <f t="shared" si="228"/>
        <v>6598333.333333334</v>
      </c>
      <c r="AP335" s="303" t="s">
        <v>244</v>
      </c>
      <c r="AQ335" s="303" t="s">
        <v>245</v>
      </c>
      <c r="AR335" s="360" t="s">
        <v>246</v>
      </c>
      <c r="AS335" s="306" t="s">
        <v>247</v>
      </c>
      <c r="AT335" s="307" t="str">
        <f t="shared" si="229"/>
        <v>SUBDIRECCIÓN DE BIENESTAR UNIVERSITARIO</v>
      </c>
      <c r="AU335" s="308" t="s">
        <v>248</v>
      </c>
      <c r="AV335" s="361" t="s">
        <v>249</v>
      </c>
      <c r="AW335" s="303" t="s">
        <v>244</v>
      </c>
      <c r="AX335" s="303" t="s">
        <v>244</v>
      </c>
      <c r="AY335" s="362" t="s">
        <v>250</v>
      </c>
      <c r="AZ335" s="363" t="s">
        <v>251</v>
      </c>
      <c r="BA335" s="363" t="s">
        <v>252</v>
      </c>
      <c r="BB335" s="363" t="s">
        <v>250</v>
      </c>
      <c r="BC335" s="363"/>
      <c r="BD335" s="363"/>
    </row>
    <row r="336" spans="1:56" ht="72" x14ac:dyDescent="0.2">
      <c r="A336" s="257">
        <v>334</v>
      </c>
      <c r="B336" s="299" t="s">
        <v>63</v>
      </c>
      <c r="C336" s="299" t="s">
        <v>25</v>
      </c>
      <c r="D336" s="299" t="s">
        <v>38</v>
      </c>
      <c r="E336" s="299" t="s">
        <v>84</v>
      </c>
      <c r="F336" s="350" t="s">
        <v>39</v>
      </c>
      <c r="G336" s="350" t="s">
        <v>75</v>
      </c>
      <c r="H336" s="299" t="s">
        <v>69</v>
      </c>
      <c r="I336" s="299">
        <v>3</v>
      </c>
      <c r="J336" s="311">
        <v>3425056.4249999998</v>
      </c>
      <c r="K336" s="300">
        <f t="shared" si="219"/>
        <v>5.1077574583315188E-2</v>
      </c>
      <c r="L336" s="311">
        <f>IF(H336="OTRO",(J336*1.05),VLOOKUP((I336&amp;H336),'ESCALAS Salarios'!$D$2:$F$30,3,0))</f>
        <v>3600000</v>
      </c>
      <c r="M336" s="299">
        <v>1</v>
      </c>
      <c r="N336" s="299" t="s">
        <v>485</v>
      </c>
      <c r="O336" s="250">
        <v>45517</v>
      </c>
      <c r="P336" s="377">
        <v>45624</v>
      </c>
      <c r="Q336" s="312">
        <v>12840000</v>
      </c>
      <c r="R336" s="250"/>
      <c r="S336" s="317"/>
      <c r="T336" s="312">
        <f t="shared" si="220"/>
        <v>0</v>
      </c>
      <c r="U336" s="318">
        <f t="shared" si="221"/>
        <v>4</v>
      </c>
      <c r="V336" s="312">
        <f t="shared" si="230"/>
        <v>12840000</v>
      </c>
      <c r="W336" s="313">
        <f>13243551.51*2.075</f>
        <v>27480369.383250002</v>
      </c>
      <c r="X336" s="353">
        <f t="shared" si="222"/>
        <v>-0.53275737232897913</v>
      </c>
      <c r="Y336" s="375">
        <v>79449428</v>
      </c>
      <c r="Z336" s="376" t="s">
        <v>442</v>
      </c>
      <c r="AA336" s="356">
        <f t="shared" si="231"/>
        <v>12840000</v>
      </c>
      <c r="AB336" s="270" t="s">
        <v>243</v>
      </c>
      <c r="AC336" s="393" t="s">
        <v>15</v>
      </c>
      <c r="AD336" s="358" t="s">
        <v>361</v>
      </c>
      <c r="AE336" s="358" t="s">
        <v>244</v>
      </c>
      <c r="AF336" s="359" t="str">
        <f t="shared" si="223"/>
        <v>CON-334</v>
      </c>
      <c r="AG336" s="270">
        <v>80111600</v>
      </c>
      <c r="AH336" s="249" t="s">
        <v>186</v>
      </c>
      <c r="AI336" s="301">
        <f t="shared" si="224"/>
        <v>45517</v>
      </c>
      <c r="AJ336" s="301">
        <f t="shared" si="225"/>
        <v>45517</v>
      </c>
      <c r="AK336" s="302">
        <f t="shared" si="226"/>
        <v>4</v>
      </c>
      <c r="AL336" s="303" t="s">
        <v>241</v>
      </c>
      <c r="AM336" s="304" t="s">
        <v>242</v>
      </c>
      <c r="AN336" s="305">
        <f t="shared" si="227"/>
        <v>12840000</v>
      </c>
      <c r="AO336" s="305">
        <f t="shared" si="228"/>
        <v>12840000</v>
      </c>
      <c r="AP336" s="303" t="s">
        <v>244</v>
      </c>
      <c r="AQ336" s="303" t="s">
        <v>245</v>
      </c>
      <c r="AR336" s="360" t="s">
        <v>246</v>
      </c>
      <c r="AS336" s="306" t="s">
        <v>247</v>
      </c>
      <c r="AT336" s="307" t="str">
        <f t="shared" si="229"/>
        <v>SUBDIRECCIÓN DE BIENESTAR UNIVERSITARIO</v>
      </c>
      <c r="AU336" s="308" t="s">
        <v>248</v>
      </c>
      <c r="AV336" s="361" t="s">
        <v>249</v>
      </c>
      <c r="AW336" s="303" t="s">
        <v>244</v>
      </c>
      <c r="AX336" s="303" t="s">
        <v>244</v>
      </c>
      <c r="AY336" s="362" t="s">
        <v>250</v>
      </c>
      <c r="AZ336" s="363" t="s">
        <v>251</v>
      </c>
      <c r="BA336" s="363" t="s">
        <v>252</v>
      </c>
      <c r="BB336" s="363" t="s">
        <v>250</v>
      </c>
      <c r="BC336" s="363"/>
      <c r="BD336" s="363"/>
    </row>
    <row r="337" spans="1:56" ht="48" x14ac:dyDescent="0.2">
      <c r="A337" s="257">
        <v>335</v>
      </c>
      <c r="B337" s="299" t="s">
        <v>63</v>
      </c>
      <c r="C337" s="299" t="s">
        <v>25</v>
      </c>
      <c r="D337" s="299" t="s">
        <v>38</v>
      </c>
      <c r="E337" s="299" t="s">
        <v>85</v>
      </c>
      <c r="F337" s="350" t="s">
        <v>40</v>
      </c>
      <c r="G337" s="350" t="s">
        <v>75</v>
      </c>
      <c r="H337" s="299" t="s">
        <v>71</v>
      </c>
      <c r="I337" s="299">
        <v>3</v>
      </c>
      <c r="J337" s="311">
        <v>1712528.2124999999</v>
      </c>
      <c r="K337" s="300">
        <f t="shared" si="219"/>
        <v>8.0274173877296073E-2</v>
      </c>
      <c r="L337" s="311">
        <f>IF(H337="OTRO",(J337*1.05),VLOOKUP((I337&amp;H337),'ESCALAS Salarios'!$D$2:$F$30,3,0))</f>
        <v>1850000</v>
      </c>
      <c r="M337" s="299">
        <v>1</v>
      </c>
      <c r="N337" s="299" t="s">
        <v>485</v>
      </c>
      <c r="O337" s="250">
        <v>45517</v>
      </c>
      <c r="P337" s="377">
        <v>45624</v>
      </c>
      <c r="Q337" s="312">
        <v>6598333.333333334</v>
      </c>
      <c r="R337" s="250"/>
      <c r="S337" s="317"/>
      <c r="T337" s="312">
        <f t="shared" si="220"/>
        <v>0</v>
      </c>
      <c r="U337" s="318">
        <f t="shared" si="221"/>
        <v>4</v>
      </c>
      <c r="V337" s="312">
        <f t="shared" si="230"/>
        <v>6598333.333333334</v>
      </c>
      <c r="W337" s="313">
        <f t="shared" si="232"/>
        <v>13740184.691625001</v>
      </c>
      <c r="X337" s="353">
        <f t="shared" si="222"/>
        <v>-0.51977841044922857</v>
      </c>
      <c r="Y337" s="375">
        <v>1022324245</v>
      </c>
      <c r="Z337" s="376" t="s">
        <v>443</v>
      </c>
      <c r="AA337" s="356">
        <f t="shared" si="231"/>
        <v>6598333.333333334</v>
      </c>
      <c r="AB337" s="270" t="s">
        <v>243</v>
      </c>
      <c r="AC337" s="393" t="s">
        <v>15</v>
      </c>
      <c r="AD337" s="358" t="s">
        <v>361</v>
      </c>
      <c r="AE337" s="358" t="s">
        <v>244</v>
      </c>
      <c r="AF337" s="359" t="str">
        <f t="shared" si="223"/>
        <v>CON-335</v>
      </c>
      <c r="AG337" s="270">
        <v>80111600</v>
      </c>
      <c r="AH337" s="249" t="s">
        <v>187</v>
      </c>
      <c r="AI337" s="301">
        <f t="shared" si="224"/>
        <v>45517</v>
      </c>
      <c r="AJ337" s="301">
        <f t="shared" si="225"/>
        <v>45517</v>
      </c>
      <c r="AK337" s="302">
        <f t="shared" si="226"/>
        <v>4</v>
      </c>
      <c r="AL337" s="303" t="s">
        <v>241</v>
      </c>
      <c r="AM337" s="304" t="s">
        <v>242</v>
      </c>
      <c r="AN337" s="305">
        <f t="shared" si="227"/>
        <v>6598333.333333334</v>
      </c>
      <c r="AO337" s="305">
        <f t="shared" si="228"/>
        <v>6598333.333333334</v>
      </c>
      <c r="AP337" s="303" t="s">
        <v>244</v>
      </c>
      <c r="AQ337" s="303" t="s">
        <v>245</v>
      </c>
      <c r="AR337" s="360" t="s">
        <v>246</v>
      </c>
      <c r="AS337" s="306" t="s">
        <v>247</v>
      </c>
      <c r="AT337" s="307" t="str">
        <f t="shared" si="229"/>
        <v>SUBDIRECCIÓN DE BIENESTAR UNIVERSITARIO</v>
      </c>
      <c r="AU337" s="308" t="s">
        <v>248</v>
      </c>
      <c r="AV337" s="361" t="s">
        <v>249</v>
      </c>
      <c r="AW337" s="303" t="s">
        <v>244</v>
      </c>
      <c r="AX337" s="303" t="s">
        <v>244</v>
      </c>
      <c r="AY337" s="362" t="s">
        <v>250</v>
      </c>
      <c r="AZ337" s="363" t="s">
        <v>251</v>
      </c>
      <c r="BA337" s="363" t="s">
        <v>252</v>
      </c>
      <c r="BB337" s="363" t="s">
        <v>250</v>
      </c>
      <c r="BC337" s="363"/>
      <c r="BD337" s="363"/>
    </row>
    <row r="338" spans="1:56" ht="36" x14ac:dyDescent="0.2">
      <c r="A338" s="257">
        <v>336</v>
      </c>
      <c r="B338" s="299" t="s">
        <v>63</v>
      </c>
      <c r="C338" s="299" t="s">
        <v>25</v>
      </c>
      <c r="D338" s="299" t="s">
        <v>38</v>
      </c>
      <c r="E338" s="299" t="s">
        <v>86</v>
      </c>
      <c r="F338" s="350" t="s">
        <v>40</v>
      </c>
      <c r="G338" s="350" t="s">
        <v>75</v>
      </c>
      <c r="H338" s="299" t="s">
        <v>71</v>
      </c>
      <c r="I338" s="299">
        <v>3</v>
      </c>
      <c r="J338" s="311">
        <v>1712528.2124999999</v>
      </c>
      <c r="K338" s="300">
        <f t="shared" si="219"/>
        <v>8.0274173877296073E-2</v>
      </c>
      <c r="L338" s="311">
        <f>IF(H338="OTRO",(J338*1.05),VLOOKUP((I338&amp;H338),'ESCALAS Salarios'!$D$2:$F$30,3,0))</f>
        <v>1850000</v>
      </c>
      <c r="M338" s="299">
        <v>1</v>
      </c>
      <c r="N338" s="299" t="s">
        <v>485</v>
      </c>
      <c r="O338" s="250">
        <v>45517</v>
      </c>
      <c r="P338" s="377">
        <v>45624</v>
      </c>
      <c r="Q338" s="312">
        <v>6598333.333333334</v>
      </c>
      <c r="R338" s="250"/>
      <c r="S338" s="317"/>
      <c r="T338" s="312">
        <f t="shared" si="220"/>
        <v>0</v>
      </c>
      <c r="U338" s="318">
        <f t="shared" si="221"/>
        <v>4</v>
      </c>
      <c r="V338" s="312">
        <f t="shared" si="230"/>
        <v>6598333.333333334</v>
      </c>
      <c r="W338" s="313">
        <f t="shared" si="232"/>
        <v>13740184.691625001</v>
      </c>
      <c r="X338" s="353">
        <f t="shared" si="222"/>
        <v>-0.51977841044922857</v>
      </c>
      <c r="Y338" s="313"/>
      <c r="Z338" s="355" t="s">
        <v>41</v>
      </c>
      <c r="AA338" s="356">
        <f t="shared" si="231"/>
        <v>6598333.333333334</v>
      </c>
      <c r="AB338" s="270" t="s">
        <v>243</v>
      </c>
      <c r="AC338" s="393" t="s">
        <v>15</v>
      </c>
      <c r="AD338" s="358" t="s">
        <v>361</v>
      </c>
      <c r="AE338" s="358" t="s">
        <v>244</v>
      </c>
      <c r="AF338" s="359" t="str">
        <f t="shared" si="223"/>
        <v>CON-336</v>
      </c>
      <c r="AG338" s="270">
        <v>80111600</v>
      </c>
      <c r="AH338" s="249" t="s">
        <v>188</v>
      </c>
      <c r="AI338" s="301">
        <f t="shared" si="224"/>
        <v>45517</v>
      </c>
      <c r="AJ338" s="301">
        <f t="shared" si="225"/>
        <v>45517</v>
      </c>
      <c r="AK338" s="302">
        <f t="shared" si="226"/>
        <v>4</v>
      </c>
      <c r="AL338" s="303" t="s">
        <v>241</v>
      </c>
      <c r="AM338" s="304" t="s">
        <v>242</v>
      </c>
      <c r="AN338" s="305">
        <f t="shared" si="227"/>
        <v>6598333.333333334</v>
      </c>
      <c r="AO338" s="305">
        <f t="shared" si="228"/>
        <v>6598333.333333334</v>
      </c>
      <c r="AP338" s="303" t="s">
        <v>244</v>
      </c>
      <c r="AQ338" s="303" t="s">
        <v>245</v>
      </c>
      <c r="AR338" s="360" t="s">
        <v>246</v>
      </c>
      <c r="AS338" s="306" t="s">
        <v>247</v>
      </c>
      <c r="AT338" s="307" t="str">
        <f t="shared" si="229"/>
        <v>SUBDIRECCIÓN DE BIENESTAR UNIVERSITARIO</v>
      </c>
      <c r="AU338" s="308" t="s">
        <v>248</v>
      </c>
      <c r="AV338" s="361" t="s">
        <v>249</v>
      </c>
      <c r="AW338" s="303" t="s">
        <v>244</v>
      </c>
      <c r="AX338" s="303" t="s">
        <v>244</v>
      </c>
      <c r="AY338" s="362" t="s">
        <v>250</v>
      </c>
      <c r="AZ338" s="363" t="s">
        <v>251</v>
      </c>
      <c r="BA338" s="363" t="s">
        <v>252</v>
      </c>
      <c r="BB338" s="363" t="s">
        <v>250</v>
      </c>
      <c r="BC338" s="363"/>
      <c r="BD338" s="363"/>
    </row>
    <row r="339" spans="1:56" ht="48" x14ac:dyDescent="0.2">
      <c r="A339" s="257">
        <v>337</v>
      </c>
      <c r="B339" s="299" t="s">
        <v>63</v>
      </c>
      <c r="C339" s="299" t="s">
        <v>25</v>
      </c>
      <c r="D339" s="299" t="s">
        <v>38</v>
      </c>
      <c r="E339" s="299" t="s">
        <v>86</v>
      </c>
      <c r="F339" s="350" t="s">
        <v>40</v>
      </c>
      <c r="G339" s="350" t="s">
        <v>75</v>
      </c>
      <c r="H339" s="299" t="s">
        <v>71</v>
      </c>
      <c r="I339" s="299">
        <v>3</v>
      </c>
      <c r="J339" s="311">
        <v>1712528.2124999999</v>
      </c>
      <c r="K339" s="300">
        <f t="shared" si="219"/>
        <v>8.0274173877296073E-2</v>
      </c>
      <c r="L339" s="311">
        <f>IF(H339="OTRO",(J339*1.05),VLOOKUP((I339&amp;H339),'ESCALAS Salarios'!$D$2:$F$30,3,0))</f>
        <v>1850000</v>
      </c>
      <c r="M339" s="299">
        <v>1</v>
      </c>
      <c r="N339" s="299" t="s">
        <v>485</v>
      </c>
      <c r="O339" s="250">
        <v>45517</v>
      </c>
      <c r="P339" s="377">
        <v>45624</v>
      </c>
      <c r="Q339" s="312">
        <v>6598333.333333334</v>
      </c>
      <c r="R339" s="250"/>
      <c r="S339" s="317"/>
      <c r="T339" s="312">
        <f t="shared" si="220"/>
        <v>0</v>
      </c>
      <c r="U339" s="318">
        <f t="shared" si="221"/>
        <v>4</v>
      </c>
      <c r="V339" s="312">
        <f t="shared" si="230"/>
        <v>6598333.333333334</v>
      </c>
      <c r="W339" s="313">
        <f t="shared" si="232"/>
        <v>13740184.691625001</v>
      </c>
      <c r="X339" s="353">
        <f t="shared" si="222"/>
        <v>-0.51977841044922857</v>
      </c>
      <c r="Y339" s="375">
        <v>51596583</v>
      </c>
      <c r="Z339" s="376" t="s">
        <v>444</v>
      </c>
      <c r="AA339" s="356">
        <f t="shared" si="231"/>
        <v>6598333.333333334</v>
      </c>
      <c r="AB339" s="270" t="s">
        <v>243</v>
      </c>
      <c r="AC339" s="393" t="s">
        <v>15</v>
      </c>
      <c r="AD339" s="358" t="s">
        <v>361</v>
      </c>
      <c r="AE339" s="358" t="s">
        <v>244</v>
      </c>
      <c r="AF339" s="359" t="str">
        <f t="shared" si="223"/>
        <v>CON-337</v>
      </c>
      <c r="AG339" s="270">
        <v>80111600</v>
      </c>
      <c r="AH339" s="249" t="s">
        <v>189</v>
      </c>
      <c r="AI339" s="301">
        <f t="shared" si="224"/>
        <v>45517</v>
      </c>
      <c r="AJ339" s="301">
        <f t="shared" si="225"/>
        <v>45517</v>
      </c>
      <c r="AK339" s="302">
        <f t="shared" si="226"/>
        <v>4</v>
      </c>
      <c r="AL339" s="303" t="s">
        <v>241</v>
      </c>
      <c r="AM339" s="304" t="s">
        <v>242</v>
      </c>
      <c r="AN339" s="305">
        <f t="shared" si="227"/>
        <v>6598333.333333334</v>
      </c>
      <c r="AO339" s="305">
        <f t="shared" si="228"/>
        <v>6598333.333333334</v>
      </c>
      <c r="AP339" s="303" t="s">
        <v>244</v>
      </c>
      <c r="AQ339" s="303" t="s">
        <v>245</v>
      </c>
      <c r="AR339" s="360" t="s">
        <v>246</v>
      </c>
      <c r="AS339" s="306" t="s">
        <v>247</v>
      </c>
      <c r="AT339" s="307" t="str">
        <f t="shared" si="229"/>
        <v>SUBDIRECCIÓN DE BIENESTAR UNIVERSITARIO</v>
      </c>
      <c r="AU339" s="308" t="s">
        <v>248</v>
      </c>
      <c r="AV339" s="361" t="s">
        <v>249</v>
      </c>
      <c r="AW339" s="303" t="s">
        <v>244</v>
      </c>
      <c r="AX339" s="303" t="s">
        <v>244</v>
      </c>
      <c r="AY339" s="362" t="s">
        <v>250</v>
      </c>
      <c r="AZ339" s="363" t="s">
        <v>251</v>
      </c>
      <c r="BA339" s="363" t="s">
        <v>252</v>
      </c>
      <c r="BB339" s="363" t="s">
        <v>250</v>
      </c>
      <c r="BC339" s="363"/>
      <c r="BD339" s="363"/>
    </row>
    <row r="340" spans="1:56" ht="36" x14ac:dyDescent="0.2">
      <c r="A340" s="257">
        <v>338</v>
      </c>
      <c r="B340" s="299" t="s">
        <v>63</v>
      </c>
      <c r="C340" s="299" t="s">
        <v>25</v>
      </c>
      <c r="D340" s="299" t="s">
        <v>38</v>
      </c>
      <c r="E340" s="299" t="s">
        <v>86</v>
      </c>
      <c r="F340" s="350" t="s">
        <v>40</v>
      </c>
      <c r="G340" s="350" t="s">
        <v>75</v>
      </c>
      <c r="H340" s="299" t="s">
        <v>71</v>
      </c>
      <c r="I340" s="299">
        <v>3</v>
      </c>
      <c r="J340" s="311">
        <v>1712528.2124999999</v>
      </c>
      <c r="K340" s="300">
        <f t="shared" si="219"/>
        <v>8.0274173877296073E-2</v>
      </c>
      <c r="L340" s="311">
        <f>IF(H340="OTRO",(J340*1.05),VLOOKUP((I340&amp;H340),'ESCALAS Salarios'!$D$2:$F$30,3,0))</f>
        <v>1850000</v>
      </c>
      <c r="M340" s="299">
        <v>1</v>
      </c>
      <c r="N340" s="299" t="s">
        <v>485</v>
      </c>
      <c r="O340" s="250">
        <v>45517</v>
      </c>
      <c r="P340" s="377">
        <v>45624</v>
      </c>
      <c r="Q340" s="312">
        <v>6598333.333333334</v>
      </c>
      <c r="R340" s="250"/>
      <c r="S340" s="317"/>
      <c r="T340" s="312">
        <f t="shared" si="220"/>
        <v>0</v>
      </c>
      <c r="U340" s="318">
        <f t="shared" si="221"/>
        <v>4</v>
      </c>
      <c r="V340" s="312">
        <f t="shared" si="230"/>
        <v>6598333.333333334</v>
      </c>
      <c r="W340" s="313">
        <f t="shared" si="232"/>
        <v>13740184.691625001</v>
      </c>
      <c r="X340" s="353">
        <f t="shared" si="222"/>
        <v>-0.51977841044922857</v>
      </c>
      <c r="Y340" s="375">
        <v>1014222525</v>
      </c>
      <c r="Z340" s="376" t="s">
        <v>445</v>
      </c>
      <c r="AA340" s="356">
        <f t="shared" si="231"/>
        <v>6598333.333333334</v>
      </c>
      <c r="AB340" s="270" t="s">
        <v>243</v>
      </c>
      <c r="AC340" s="393" t="s">
        <v>15</v>
      </c>
      <c r="AD340" s="358" t="s">
        <v>361</v>
      </c>
      <c r="AE340" s="358" t="s">
        <v>244</v>
      </c>
      <c r="AF340" s="359" t="str">
        <f t="shared" si="223"/>
        <v>CON-338</v>
      </c>
      <c r="AG340" s="270">
        <v>80111600</v>
      </c>
      <c r="AH340" s="249" t="s">
        <v>190</v>
      </c>
      <c r="AI340" s="301">
        <f t="shared" si="224"/>
        <v>45517</v>
      </c>
      <c r="AJ340" s="301">
        <f t="shared" si="225"/>
        <v>45517</v>
      </c>
      <c r="AK340" s="302">
        <f t="shared" si="226"/>
        <v>4</v>
      </c>
      <c r="AL340" s="303" t="s">
        <v>241</v>
      </c>
      <c r="AM340" s="304" t="s">
        <v>242</v>
      </c>
      <c r="AN340" s="305">
        <f t="shared" si="227"/>
        <v>6598333.333333334</v>
      </c>
      <c r="AO340" s="305">
        <f t="shared" si="228"/>
        <v>6598333.333333334</v>
      </c>
      <c r="AP340" s="303" t="s">
        <v>244</v>
      </c>
      <c r="AQ340" s="303" t="s">
        <v>245</v>
      </c>
      <c r="AR340" s="360" t="s">
        <v>246</v>
      </c>
      <c r="AS340" s="306" t="s">
        <v>247</v>
      </c>
      <c r="AT340" s="307" t="str">
        <f t="shared" si="229"/>
        <v>SUBDIRECCIÓN DE BIENESTAR UNIVERSITARIO</v>
      </c>
      <c r="AU340" s="308" t="s">
        <v>248</v>
      </c>
      <c r="AV340" s="361" t="s">
        <v>249</v>
      </c>
      <c r="AW340" s="303" t="s">
        <v>244</v>
      </c>
      <c r="AX340" s="303" t="s">
        <v>244</v>
      </c>
      <c r="AY340" s="362" t="s">
        <v>250</v>
      </c>
      <c r="AZ340" s="363" t="s">
        <v>251</v>
      </c>
      <c r="BA340" s="363" t="s">
        <v>252</v>
      </c>
      <c r="BB340" s="363" t="s">
        <v>250</v>
      </c>
      <c r="BC340" s="363"/>
      <c r="BD340" s="363"/>
    </row>
    <row r="341" spans="1:56" ht="48" x14ac:dyDescent="0.2">
      <c r="A341" s="257">
        <v>339</v>
      </c>
      <c r="B341" s="299" t="s">
        <v>63</v>
      </c>
      <c r="C341" s="299" t="s">
        <v>25</v>
      </c>
      <c r="D341" s="299" t="s">
        <v>38</v>
      </c>
      <c r="E341" s="299" t="s">
        <v>86</v>
      </c>
      <c r="F341" s="350" t="s">
        <v>40</v>
      </c>
      <c r="G341" s="350" t="s">
        <v>75</v>
      </c>
      <c r="H341" s="299" t="s">
        <v>71</v>
      </c>
      <c r="I341" s="299">
        <v>3</v>
      </c>
      <c r="J341" s="311">
        <v>1712528.2124999999</v>
      </c>
      <c r="K341" s="300">
        <f t="shared" si="219"/>
        <v>8.0274173877296073E-2</v>
      </c>
      <c r="L341" s="311">
        <f>IF(H341="OTRO",(J341*1.05),VLOOKUP((I341&amp;H341),'ESCALAS Salarios'!$D$2:$F$30,3,0))</f>
        <v>1850000</v>
      </c>
      <c r="M341" s="299">
        <v>1</v>
      </c>
      <c r="N341" s="299" t="s">
        <v>485</v>
      </c>
      <c r="O341" s="250">
        <v>45517</v>
      </c>
      <c r="P341" s="377">
        <v>45624</v>
      </c>
      <c r="Q341" s="312">
        <v>6598333.333333334</v>
      </c>
      <c r="R341" s="250"/>
      <c r="S341" s="317"/>
      <c r="T341" s="312">
        <f t="shared" si="220"/>
        <v>0</v>
      </c>
      <c r="U341" s="318">
        <f t="shared" si="221"/>
        <v>4</v>
      </c>
      <c r="V341" s="312">
        <f t="shared" si="230"/>
        <v>6598333.333333334</v>
      </c>
      <c r="W341" s="313">
        <f t="shared" si="232"/>
        <v>13740184.691625001</v>
      </c>
      <c r="X341" s="353">
        <f t="shared" si="222"/>
        <v>-0.51977841044922857</v>
      </c>
      <c r="Y341" s="375">
        <v>1015442192</v>
      </c>
      <c r="Z341" s="376" t="s">
        <v>446</v>
      </c>
      <c r="AA341" s="356">
        <f t="shared" si="231"/>
        <v>6598333.333333334</v>
      </c>
      <c r="AB341" s="270" t="s">
        <v>243</v>
      </c>
      <c r="AC341" s="393" t="s">
        <v>15</v>
      </c>
      <c r="AD341" s="358" t="s">
        <v>361</v>
      </c>
      <c r="AE341" s="358" t="s">
        <v>244</v>
      </c>
      <c r="AF341" s="359" t="str">
        <f t="shared" si="223"/>
        <v>CON-339</v>
      </c>
      <c r="AG341" s="270">
        <v>80111600</v>
      </c>
      <c r="AH341" s="249" t="s">
        <v>689</v>
      </c>
      <c r="AI341" s="301">
        <f t="shared" si="224"/>
        <v>45517</v>
      </c>
      <c r="AJ341" s="301">
        <f t="shared" si="225"/>
        <v>45517</v>
      </c>
      <c r="AK341" s="302">
        <f t="shared" si="226"/>
        <v>4</v>
      </c>
      <c r="AL341" s="303" t="s">
        <v>241</v>
      </c>
      <c r="AM341" s="304" t="s">
        <v>242</v>
      </c>
      <c r="AN341" s="305">
        <f t="shared" si="227"/>
        <v>6598333.333333334</v>
      </c>
      <c r="AO341" s="305">
        <f t="shared" si="228"/>
        <v>6598333.333333334</v>
      </c>
      <c r="AP341" s="303" t="s">
        <v>244</v>
      </c>
      <c r="AQ341" s="303" t="s">
        <v>245</v>
      </c>
      <c r="AR341" s="360" t="s">
        <v>246</v>
      </c>
      <c r="AS341" s="306" t="s">
        <v>247</v>
      </c>
      <c r="AT341" s="307" t="str">
        <f t="shared" si="229"/>
        <v>SUBDIRECCIÓN DE BIENESTAR UNIVERSITARIO</v>
      </c>
      <c r="AU341" s="308" t="s">
        <v>248</v>
      </c>
      <c r="AV341" s="361" t="s">
        <v>249</v>
      </c>
      <c r="AW341" s="303" t="s">
        <v>244</v>
      </c>
      <c r="AX341" s="303" t="s">
        <v>244</v>
      </c>
      <c r="AY341" s="362" t="s">
        <v>250</v>
      </c>
      <c r="AZ341" s="363" t="s">
        <v>251</v>
      </c>
      <c r="BA341" s="363" t="s">
        <v>252</v>
      </c>
      <c r="BB341" s="363" t="s">
        <v>250</v>
      </c>
      <c r="BC341" s="363"/>
      <c r="BD341" s="363"/>
    </row>
    <row r="342" spans="1:56" ht="48" x14ac:dyDescent="0.2">
      <c r="A342" s="257">
        <v>340</v>
      </c>
      <c r="B342" s="299" t="s">
        <v>63</v>
      </c>
      <c r="C342" s="299" t="s">
        <v>25</v>
      </c>
      <c r="D342" s="299" t="s">
        <v>38</v>
      </c>
      <c r="E342" s="299" t="s">
        <v>86</v>
      </c>
      <c r="F342" s="350" t="s">
        <v>40</v>
      </c>
      <c r="G342" s="350" t="s">
        <v>75</v>
      </c>
      <c r="H342" s="299" t="s">
        <v>71</v>
      </c>
      <c r="I342" s="299">
        <v>3</v>
      </c>
      <c r="J342" s="311">
        <v>1712528.2124999999</v>
      </c>
      <c r="K342" s="300">
        <f t="shared" si="219"/>
        <v>8.0274173877296073E-2</v>
      </c>
      <c r="L342" s="311">
        <f>IF(H342="OTRO",(J342*1.05),VLOOKUP((I342&amp;H342),'ESCALAS Salarios'!$D$2:$F$30,3,0))</f>
        <v>1850000</v>
      </c>
      <c r="M342" s="299">
        <v>1</v>
      </c>
      <c r="N342" s="299" t="s">
        <v>485</v>
      </c>
      <c r="O342" s="250">
        <v>45517</v>
      </c>
      <c r="P342" s="377">
        <v>45624</v>
      </c>
      <c r="Q342" s="312">
        <v>6598333.333333334</v>
      </c>
      <c r="R342" s="250"/>
      <c r="S342" s="317"/>
      <c r="T342" s="312">
        <f t="shared" si="220"/>
        <v>0</v>
      </c>
      <c r="U342" s="318">
        <f t="shared" si="221"/>
        <v>4</v>
      </c>
      <c r="V342" s="312">
        <f t="shared" si="230"/>
        <v>6598333.333333334</v>
      </c>
      <c r="W342" s="313">
        <f t="shared" si="232"/>
        <v>13740184.691625001</v>
      </c>
      <c r="X342" s="353">
        <f t="shared" si="222"/>
        <v>-0.51977841044922857</v>
      </c>
      <c r="Y342" s="375">
        <v>52089714</v>
      </c>
      <c r="Z342" s="376" t="s">
        <v>447</v>
      </c>
      <c r="AA342" s="356">
        <f t="shared" si="231"/>
        <v>6598333.333333334</v>
      </c>
      <c r="AB342" s="270" t="s">
        <v>243</v>
      </c>
      <c r="AC342" s="393" t="s">
        <v>15</v>
      </c>
      <c r="AD342" s="358" t="s">
        <v>361</v>
      </c>
      <c r="AE342" s="358" t="s">
        <v>244</v>
      </c>
      <c r="AF342" s="359" t="str">
        <f t="shared" si="223"/>
        <v>CON-340</v>
      </c>
      <c r="AG342" s="270">
        <v>80111600</v>
      </c>
      <c r="AH342" s="249" t="s">
        <v>192</v>
      </c>
      <c r="AI342" s="301">
        <f t="shared" si="224"/>
        <v>45517</v>
      </c>
      <c r="AJ342" s="301">
        <f t="shared" si="225"/>
        <v>45517</v>
      </c>
      <c r="AK342" s="302">
        <f t="shared" si="226"/>
        <v>4</v>
      </c>
      <c r="AL342" s="303" t="s">
        <v>241</v>
      </c>
      <c r="AM342" s="304" t="s">
        <v>242</v>
      </c>
      <c r="AN342" s="305">
        <f t="shared" si="227"/>
        <v>6598333.333333334</v>
      </c>
      <c r="AO342" s="305">
        <f t="shared" si="228"/>
        <v>6598333.333333334</v>
      </c>
      <c r="AP342" s="303" t="s">
        <v>244</v>
      </c>
      <c r="AQ342" s="303" t="s">
        <v>245</v>
      </c>
      <c r="AR342" s="360" t="s">
        <v>246</v>
      </c>
      <c r="AS342" s="306" t="s">
        <v>247</v>
      </c>
      <c r="AT342" s="307" t="str">
        <f t="shared" si="229"/>
        <v>SUBDIRECCIÓN DE BIENESTAR UNIVERSITARIO</v>
      </c>
      <c r="AU342" s="308" t="s">
        <v>248</v>
      </c>
      <c r="AV342" s="361" t="s">
        <v>249</v>
      </c>
      <c r="AW342" s="303" t="s">
        <v>244</v>
      </c>
      <c r="AX342" s="303" t="s">
        <v>244</v>
      </c>
      <c r="AY342" s="362" t="s">
        <v>250</v>
      </c>
      <c r="AZ342" s="363" t="s">
        <v>251</v>
      </c>
      <c r="BA342" s="363" t="s">
        <v>252</v>
      </c>
      <c r="BB342" s="363" t="s">
        <v>250</v>
      </c>
      <c r="BC342" s="363"/>
      <c r="BD342" s="363"/>
    </row>
    <row r="343" spans="1:56" ht="48" x14ac:dyDescent="0.2">
      <c r="A343" s="257">
        <v>341</v>
      </c>
      <c r="B343" s="299" t="s">
        <v>63</v>
      </c>
      <c r="C343" s="299" t="s">
        <v>25</v>
      </c>
      <c r="D343" s="299" t="s">
        <v>38</v>
      </c>
      <c r="E343" s="299" t="s">
        <v>86</v>
      </c>
      <c r="F343" s="350" t="s">
        <v>40</v>
      </c>
      <c r="G343" s="350" t="s">
        <v>75</v>
      </c>
      <c r="H343" s="299" t="s">
        <v>71</v>
      </c>
      <c r="I343" s="299">
        <v>3</v>
      </c>
      <c r="J343" s="311">
        <v>1712528.2124999999</v>
      </c>
      <c r="K343" s="300">
        <f t="shared" si="219"/>
        <v>8.0274173877296073E-2</v>
      </c>
      <c r="L343" s="311">
        <f>IF(H343="OTRO",(J343*1.05),VLOOKUP((I343&amp;H343),'ESCALAS Salarios'!$D$2:$F$30,3,0))</f>
        <v>1850000</v>
      </c>
      <c r="M343" s="299">
        <v>1</v>
      </c>
      <c r="N343" s="299" t="s">
        <v>485</v>
      </c>
      <c r="O343" s="250">
        <v>45517</v>
      </c>
      <c r="P343" s="377">
        <v>45624</v>
      </c>
      <c r="Q343" s="312">
        <v>6598333.333333334</v>
      </c>
      <c r="R343" s="250"/>
      <c r="S343" s="317"/>
      <c r="T343" s="312">
        <f t="shared" si="220"/>
        <v>0</v>
      </c>
      <c r="U343" s="318">
        <f t="shared" si="221"/>
        <v>4</v>
      </c>
      <c r="V343" s="312">
        <f t="shared" si="230"/>
        <v>6598333.333333334</v>
      </c>
      <c r="W343" s="313">
        <f t="shared" si="232"/>
        <v>13740184.691625001</v>
      </c>
      <c r="X343" s="353">
        <f t="shared" si="222"/>
        <v>-0.51977841044922857</v>
      </c>
      <c r="Y343" s="313"/>
      <c r="Z343" s="355" t="s">
        <v>2</v>
      </c>
      <c r="AA343" s="356">
        <f t="shared" si="231"/>
        <v>6598333.333333334</v>
      </c>
      <c r="AB343" s="270" t="s">
        <v>243</v>
      </c>
      <c r="AC343" s="393" t="s">
        <v>15</v>
      </c>
      <c r="AD343" s="358" t="s">
        <v>361</v>
      </c>
      <c r="AE343" s="358" t="s">
        <v>244</v>
      </c>
      <c r="AF343" s="359" t="str">
        <f t="shared" si="223"/>
        <v>CON-341</v>
      </c>
      <c r="AG343" s="270">
        <v>80111600</v>
      </c>
      <c r="AH343" s="249" t="s">
        <v>710</v>
      </c>
      <c r="AI343" s="301">
        <f t="shared" si="224"/>
        <v>45517</v>
      </c>
      <c r="AJ343" s="301">
        <f t="shared" si="225"/>
        <v>45517</v>
      </c>
      <c r="AK343" s="302">
        <f t="shared" si="226"/>
        <v>4</v>
      </c>
      <c r="AL343" s="303" t="s">
        <v>241</v>
      </c>
      <c r="AM343" s="304" t="s">
        <v>242</v>
      </c>
      <c r="AN343" s="305">
        <f t="shared" si="227"/>
        <v>6598333.333333334</v>
      </c>
      <c r="AO343" s="305">
        <f t="shared" si="228"/>
        <v>6598333.333333334</v>
      </c>
      <c r="AP343" s="303" t="s">
        <v>244</v>
      </c>
      <c r="AQ343" s="303" t="s">
        <v>245</v>
      </c>
      <c r="AR343" s="360" t="s">
        <v>246</v>
      </c>
      <c r="AS343" s="306" t="s">
        <v>247</v>
      </c>
      <c r="AT343" s="307" t="str">
        <f t="shared" si="229"/>
        <v>SUBDIRECCIÓN DE BIENESTAR UNIVERSITARIO</v>
      </c>
      <c r="AU343" s="308" t="s">
        <v>248</v>
      </c>
      <c r="AV343" s="361" t="s">
        <v>249</v>
      </c>
      <c r="AW343" s="303" t="s">
        <v>244</v>
      </c>
      <c r="AX343" s="303" t="s">
        <v>244</v>
      </c>
      <c r="AY343" s="362" t="s">
        <v>250</v>
      </c>
      <c r="AZ343" s="363" t="s">
        <v>251</v>
      </c>
      <c r="BA343" s="363" t="s">
        <v>252</v>
      </c>
      <c r="BB343" s="363" t="s">
        <v>250</v>
      </c>
      <c r="BC343" s="363"/>
      <c r="BD343" s="363"/>
    </row>
    <row r="344" spans="1:56" ht="48" x14ac:dyDescent="0.2">
      <c r="A344" s="257">
        <v>342</v>
      </c>
      <c r="B344" s="299" t="s">
        <v>63</v>
      </c>
      <c r="C344" s="299" t="s">
        <v>25</v>
      </c>
      <c r="D344" s="299" t="s">
        <v>38</v>
      </c>
      <c r="E344" s="299" t="s">
        <v>84</v>
      </c>
      <c r="F344" s="350" t="s">
        <v>39</v>
      </c>
      <c r="G344" s="350" t="s">
        <v>75</v>
      </c>
      <c r="H344" s="299" t="s">
        <v>71</v>
      </c>
      <c r="I344" s="299">
        <v>3</v>
      </c>
      <c r="J344" s="311">
        <v>1712528.2124999999</v>
      </c>
      <c r="K344" s="300">
        <f t="shared" si="219"/>
        <v>8.0274173877296073E-2</v>
      </c>
      <c r="L344" s="311">
        <f>IF(H344="OTRO",(J344*1.05),VLOOKUP((I344&amp;H344),'ESCALAS Salarios'!$D$2:$F$30,3,0))</f>
        <v>1850000</v>
      </c>
      <c r="M344" s="299">
        <v>1</v>
      </c>
      <c r="N344" s="299" t="s">
        <v>485</v>
      </c>
      <c r="O344" s="250">
        <v>45517</v>
      </c>
      <c r="P344" s="377">
        <v>45624</v>
      </c>
      <c r="Q344" s="312">
        <v>6598333.333333334</v>
      </c>
      <c r="R344" s="250"/>
      <c r="S344" s="317"/>
      <c r="T344" s="312">
        <f t="shared" si="220"/>
        <v>0</v>
      </c>
      <c r="U344" s="318">
        <f t="shared" si="221"/>
        <v>4</v>
      </c>
      <c r="V344" s="312">
        <f t="shared" si="230"/>
        <v>6598333.333333334</v>
      </c>
      <c r="W344" s="313">
        <f>6964281*2.05</f>
        <v>14276776.049999999</v>
      </c>
      <c r="X344" s="353">
        <f t="shared" si="222"/>
        <v>-0.53782749619208781</v>
      </c>
      <c r="Y344" s="313"/>
      <c r="Z344" s="355"/>
      <c r="AA344" s="356">
        <f t="shared" si="231"/>
        <v>6598333.333333334</v>
      </c>
      <c r="AB344" s="270" t="s">
        <v>243</v>
      </c>
      <c r="AC344" s="393" t="s">
        <v>15</v>
      </c>
      <c r="AD344" s="358" t="s">
        <v>361</v>
      </c>
      <c r="AE344" s="358" t="s">
        <v>244</v>
      </c>
      <c r="AF344" s="359" t="str">
        <f t="shared" si="223"/>
        <v>CON-342</v>
      </c>
      <c r="AG344" s="270">
        <v>80111600</v>
      </c>
      <c r="AH344" s="249" t="s">
        <v>465</v>
      </c>
      <c r="AI344" s="301">
        <f t="shared" si="224"/>
        <v>45517</v>
      </c>
      <c r="AJ344" s="301">
        <f t="shared" si="225"/>
        <v>45517</v>
      </c>
      <c r="AK344" s="302">
        <f t="shared" si="226"/>
        <v>4</v>
      </c>
      <c r="AL344" s="303" t="s">
        <v>241</v>
      </c>
      <c r="AM344" s="304" t="s">
        <v>242</v>
      </c>
      <c r="AN344" s="305">
        <f t="shared" si="227"/>
        <v>6598333.333333334</v>
      </c>
      <c r="AO344" s="305">
        <f t="shared" si="228"/>
        <v>6598333.333333334</v>
      </c>
      <c r="AP344" s="303" t="s">
        <v>244</v>
      </c>
      <c r="AQ344" s="303" t="s">
        <v>245</v>
      </c>
      <c r="AR344" s="360" t="s">
        <v>246</v>
      </c>
      <c r="AS344" s="306" t="s">
        <v>247</v>
      </c>
      <c r="AT344" s="307" t="str">
        <f>D344</f>
        <v>SUBDIRECCIÓN DE BIENESTAR UNIVERSITARIO</v>
      </c>
      <c r="AU344" s="308" t="s">
        <v>248</v>
      </c>
      <c r="AV344" s="361" t="s">
        <v>249</v>
      </c>
      <c r="AW344" s="303" t="s">
        <v>244</v>
      </c>
      <c r="AX344" s="303" t="s">
        <v>244</v>
      </c>
      <c r="AY344" s="362" t="s">
        <v>250</v>
      </c>
      <c r="AZ344" s="363" t="s">
        <v>251</v>
      </c>
      <c r="BA344" s="363" t="s">
        <v>252</v>
      </c>
      <c r="BB344" s="363" t="s">
        <v>250</v>
      </c>
      <c r="BC344" s="363"/>
      <c r="BD344" s="363"/>
    </row>
    <row r="345" spans="1:56" ht="48" x14ac:dyDescent="0.2">
      <c r="A345" s="257">
        <v>343</v>
      </c>
      <c r="B345" s="299" t="s">
        <v>63</v>
      </c>
      <c r="C345" s="299" t="s">
        <v>25</v>
      </c>
      <c r="D345" s="299" t="s">
        <v>38</v>
      </c>
      <c r="E345" s="299" t="s">
        <v>86</v>
      </c>
      <c r="F345" s="350" t="s">
        <v>40</v>
      </c>
      <c r="G345" s="350" t="s">
        <v>75</v>
      </c>
      <c r="H345" s="299" t="s">
        <v>71</v>
      </c>
      <c r="I345" s="299">
        <v>3</v>
      </c>
      <c r="J345" s="311">
        <v>1712528.2124999999</v>
      </c>
      <c r="K345" s="300">
        <f t="shared" si="219"/>
        <v>8.0274173877296073E-2</v>
      </c>
      <c r="L345" s="311">
        <f>IF(H345="OTRO",(J345*1.05),VLOOKUP((I345&amp;H345),'ESCALAS Salarios'!$D$2:$F$30,3,0))</f>
        <v>1850000</v>
      </c>
      <c r="M345" s="299">
        <v>1</v>
      </c>
      <c r="N345" s="299" t="s">
        <v>485</v>
      </c>
      <c r="O345" s="250">
        <v>45517</v>
      </c>
      <c r="P345" s="377">
        <v>45624</v>
      </c>
      <c r="Q345" s="312">
        <v>6598333.333333334</v>
      </c>
      <c r="R345" s="250"/>
      <c r="S345" s="317"/>
      <c r="T345" s="312">
        <f t="shared" si="220"/>
        <v>0</v>
      </c>
      <c r="U345" s="318">
        <f t="shared" si="221"/>
        <v>4</v>
      </c>
      <c r="V345" s="312">
        <f t="shared" si="230"/>
        <v>6598333.333333334</v>
      </c>
      <c r="W345" s="313">
        <f>6964281*2.05</f>
        <v>14276776.049999999</v>
      </c>
      <c r="X345" s="353">
        <f t="shared" si="222"/>
        <v>-0.53782749619208781</v>
      </c>
      <c r="Y345" s="313"/>
      <c r="Z345" s="355"/>
      <c r="AA345" s="356">
        <f t="shared" si="231"/>
        <v>6598333.333333334</v>
      </c>
      <c r="AB345" s="270" t="s">
        <v>243</v>
      </c>
      <c r="AC345" s="393" t="s">
        <v>15</v>
      </c>
      <c r="AD345" s="358" t="s">
        <v>361</v>
      </c>
      <c r="AE345" s="358" t="s">
        <v>244</v>
      </c>
      <c r="AF345" s="359" t="str">
        <f t="shared" si="223"/>
        <v>CON-343</v>
      </c>
      <c r="AG345" s="270">
        <v>80111600</v>
      </c>
      <c r="AH345" s="249" t="s">
        <v>497</v>
      </c>
      <c r="AI345" s="301">
        <f t="shared" si="224"/>
        <v>45517</v>
      </c>
      <c r="AJ345" s="301">
        <f t="shared" si="225"/>
        <v>45517</v>
      </c>
      <c r="AK345" s="302">
        <f t="shared" si="226"/>
        <v>4</v>
      </c>
      <c r="AL345" s="303" t="s">
        <v>241</v>
      </c>
      <c r="AM345" s="304" t="s">
        <v>242</v>
      </c>
      <c r="AN345" s="305">
        <f t="shared" si="227"/>
        <v>6598333.333333334</v>
      </c>
      <c r="AO345" s="305">
        <f t="shared" si="228"/>
        <v>6598333.333333334</v>
      </c>
      <c r="AP345" s="303" t="s">
        <v>244</v>
      </c>
      <c r="AQ345" s="303" t="s">
        <v>245</v>
      </c>
      <c r="AR345" s="360" t="s">
        <v>246</v>
      </c>
      <c r="AS345" s="306" t="s">
        <v>247</v>
      </c>
      <c r="AT345" s="307" t="str">
        <f>D345</f>
        <v>SUBDIRECCIÓN DE BIENESTAR UNIVERSITARIO</v>
      </c>
      <c r="AU345" s="308" t="s">
        <v>248</v>
      </c>
      <c r="AV345" s="361" t="s">
        <v>249</v>
      </c>
      <c r="AW345" s="303" t="s">
        <v>244</v>
      </c>
      <c r="AX345" s="303" t="s">
        <v>244</v>
      </c>
      <c r="AY345" s="362" t="s">
        <v>250</v>
      </c>
      <c r="AZ345" s="363" t="s">
        <v>251</v>
      </c>
      <c r="BA345" s="363" t="s">
        <v>252</v>
      </c>
      <c r="BB345" s="363" t="s">
        <v>250</v>
      </c>
      <c r="BC345" s="363"/>
      <c r="BD345" s="363"/>
    </row>
    <row r="346" spans="1:56" ht="68.25" customHeight="1" x14ac:dyDescent="0.2">
      <c r="A346" s="257">
        <v>344</v>
      </c>
      <c r="B346" s="299" t="s">
        <v>63</v>
      </c>
      <c r="C346" s="299" t="s">
        <v>25</v>
      </c>
      <c r="D346" s="299" t="s">
        <v>38</v>
      </c>
      <c r="E346" s="299" t="s">
        <v>84</v>
      </c>
      <c r="F346" s="350" t="s">
        <v>39</v>
      </c>
      <c r="G346" s="350" t="s">
        <v>75</v>
      </c>
      <c r="H346" s="299" t="s">
        <v>71</v>
      </c>
      <c r="I346" s="299">
        <v>3</v>
      </c>
      <c r="J346" s="311">
        <v>1750000</v>
      </c>
      <c r="K346" s="300">
        <f t="shared" si="219"/>
        <v>5.7142857142857162E-2</v>
      </c>
      <c r="L346" s="311">
        <f>IF(H346="OTRO",(J346*1.05),VLOOKUP((I346&amp;H346),'ESCALAS Salarios'!$D$2:$F$30,3,0))</f>
        <v>1850000</v>
      </c>
      <c r="M346" s="299">
        <v>1</v>
      </c>
      <c r="N346" s="299" t="s">
        <v>485</v>
      </c>
      <c r="O346" s="250">
        <v>45517</v>
      </c>
      <c r="P346" s="377">
        <v>45624</v>
      </c>
      <c r="Q346" s="312">
        <v>6598333.333333334</v>
      </c>
      <c r="R346" s="250"/>
      <c r="S346" s="317"/>
      <c r="T346" s="312">
        <f t="shared" si="220"/>
        <v>0</v>
      </c>
      <c r="U346" s="318">
        <f t="shared" si="221"/>
        <v>4</v>
      </c>
      <c r="V346" s="312">
        <f t="shared" si="230"/>
        <v>6598333.333333334</v>
      </c>
      <c r="W346" s="313">
        <f>6964281*2.05</f>
        <v>14276776.049999999</v>
      </c>
      <c r="X346" s="353">
        <f>IF(W346="",1,IF(W346=0,1,((V346/W346)-1)))</f>
        <v>-0.53782749619208781</v>
      </c>
      <c r="Y346" s="388"/>
      <c r="Z346" s="388"/>
      <c r="AA346" s="356">
        <f t="shared" si="231"/>
        <v>6598333.333333334</v>
      </c>
      <c r="AB346" s="270" t="s">
        <v>243</v>
      </c>
      <c r="AC346" s="393" t="s">
        <v>15</v>
      </c>
      <c r="AD346" s="358" t="s">
        <v>361</v>
      </c>
      <c r="AE346" s="358" t="s">
        <v>244</v>
      </c>
      <c r="AF346" s="359" t="str">
        <f t="shared" si="223"/>
        <v>CON-344</v>
      </c>
      <c r="AG346" s="270">
        <v>80111600</v>
      </c>
      <c r="AH346" s="249" t="s">
        <v>466</v>
      </c>
      <c r="AI346" s="301">
        <f t="shared" si="224"/>
        <v>45517</v>
      </c>
      <c r="AJ346" s="301">
        <f t="shared" si="225"/>
        <v>45517</v>
      </c>
      <c r="AK346" s="302">
        <f t="shared" si="226"/>
        <v>4</v>
      </c>
      <c r="AL346" s="303" t="s">
        <v>241</v>
      </c>
      <c r="AM346" s="304" t="s">
        <v>242</v>
      </c>
      <c r="AN346" s="305">
        <f t="shared" si="227"/>
        <v>6598333.333333334</v>
      </c>
      <c r="AO346" s="305">
        <f t="shared" si="228"/>
        <v>6598333.333333334</v>
      </c>
      <c r="AP346" s="303" t="s">
        <v>244</v>
      </c>
      <c r="AQ346" s="303" t="s">
        <v>245</v>
      </c>
      <c r="AR346" s="360" t="s">
        <v>246</v>
      </c>
      <c r="AS346" s="306" t="s">
        <v>247</v>
      </c>
      <c r="AT346" s="307" t="s">
        <v>38</v>
      </c>
      <c r="AU346" s="308" t="s">
        <v>248</v>
      </c>
      <c r="AV346" s="361" t="s">
        <v>249</v>
      </c>
      <c r="AW346" s="303" t="s">
        <v>244</v>
      </c>
      <c r="AX346" s="303" t="s">
        <v>244</v>
      </c>
      <c r="AY346" s="362" t="s">
        <v>250</v>
      </c>
      <c r="AZ346" s="363" t="s">
        <v>251</v>
      </c>
      <c r="BA346" s="363" t="s">
        <v>252</v>
      </c>
      <c r="BB346" s="363" t="s">
        <v>250</v>
      </c>
      <c r="BC346" s="363"/>
      <c r="BD346" s="363"/>
    </row>
    <row r="347" spans="1:56" ht="48" x14ac:dyDescent="0.2">
      <c r="A347" s="257">
        <v>345</v>
      </c>
      <c r="B347" s="299" t="s">
        <v>90</v>
      </c>
      <c r="C347" s="299" t="s">
        <v>78</v>
      </c>
      <c r="D347" s="299" t="s">
        <v>375</v>
      </c>
      <c r="E347" s="299"/>
      <c r="F347" s="350" t="s">
        <v>383</v>
      </c>
      <c r="G347" s="350" t="s">
        <v>374</v>
      </c>
      <c r="H347" s="45" t="s">
        <v>69</v>
      </c>
      <c r="I347" s="299"/>
      <c r="J347" s="309">
        <v>1967592.5925925926</v>
      </c>
      <c r="K347" s="300">
        <v>5.0000000000000044E-2</v>
      </c>
      <c r="L347" s="426" t="s">
        <v>739</v>
      </c>
      <c r="M347" s="299">
        <v>1</v>
      </c>
      <c r="N347" s="299" t="s">
        <v>686</v>
      </c>
      <c r="O347" s="250">
        <v>45488</v>
      </c>
      <c r="P347" s="316">
        <v>45626</v>
      </c>
      <c r="Q347" s="427">
        <v>16492291</v>
      </c>
      <c r="R347" s="317"/>
      <c r="S347" s="317"/>
      <c r="T347" s="427">
        <v>0</v>
      </c>
      <c r="U347" s="428">
        <v>5</v>
      </c>
      <c r="V347" s="312">
        <v>16492291</v>
      </c>
      <c r="W347" s="429">
        <v>1750000000</v>
      </c>
      <c r="X347" s="353">
        <v>-0.43899999999999995</v>
      </c>
      <c r="Y347" s="376"/>
      <c r="Z347" s="376" t="s">
        <v>376</v>
      </c>
      <c r="AA347" s="429">
        <v>981750000</v>
      </c>
      <c r="AB347" s="270" t="s">
        <v>243</v>
      </c>
      <c r="AC347" s="393" t="s">
        <v>373</v>
      </c>
      <c r="AD347" s="393" t="s">
        <v>361</v>
      </c>
      <c r="AE347" s="358" t="s">
        <v>244</v>
      </c>
      <c r="AF347" s="359" t="str">
        <f t="shared" ref="AF347:AF388" si="233">"CLE-"&amp;A347</f>
        <v>CLE-345</v>
      </c>
      <c r="AG347" s="270">
        <v>80111600</v>
      </c>
      <c r="AH347" s="310" t="s">
        <v>737</v>
      </c>
      <c r="AI347" s="301" t="s">
        <v>393</v>
      </c>
      <c r="AJ347" s="301" t="s">
        <v>393</v>
      </c>
      <c r="AK347" s="302">
        <v>5</v>
      </c>
      <c r="AL347" s="303" t="s">
        <v>241</v>
      </c>
      <c r="AM347" s="304" t="s">
        <v>242</v>
      </c>
      <c r="AN347" s="305">
        <v>16492291</v>
      </c>
      <c r="AO347" s="305">
        <v>16492291</v>
      </c>
      <c r="AP347" s="303" t="s">
        <v>244</v>
      </c>
      <c r="AQ347" s="303" t="s">
        <v>245</v>
      </c>
      <c r="AR347" s="360" t="s">
        <v>246</v>
      </c>
      <c r="AS347" s="306" t="s">
        <v>247</v>
      </c>
      <c r="AT347" s="307" t="s">
        <v>372</v>
      </c>
      <c r="AU347" s="308" t="s">
        <v>248</v>
      </c>
      <c r="AV347" s="361" t="s">
        <v>249</v>
      </c>
      <c r="AW347" s="303" t="s">
        <v>244</v>
      </c>
      <c r="AX347" s="303" t="s">
        <v>361</v>
      </c>
      <c r="AY347" s="394" t="s">
        <v>250</v>
      </c>
      <c r="AZ347" s="394" t="s">
        <v>251</v>
      </c>
      <c r="BA347" s="394" t="s">
        <v>252</v>
      </c>
      <c r="BB347" s="394" t="s">
        <v>250</v>
      </c>
      <c r="BC347" s="394"/>
      <c r="BD347" s="394"/>
    </row>
    <row r="348" spans="1:56" customFormat="1" ht="48" x14ac:dyDescent="0.25">
      <c r="A348" s="257">
        <v>346</v>
      </c>
      <c r="B348" s="299" t="s">
        <v>90</v>
      </c>
      <c r="C348" s="299" t="s">
        <v>78</v>
      </c>
      <c r="D348" s="299" t="s">
        <v>375</v>
      </c>
      <c r="E348" s="299"/>
      <c r="F348" s="350" t="s">
        <v>383</v>
      </c>
      <c r="G348" s="350" t="s">
        <v>374</v>
      </c>
      <c r="H348" s="45" t="s">
        <v>69</v>
      </c>
      <c r="I348" s="299"/>
      <c r="J348" s="251">
        <v>1967592.5925925926</v>
      </c>
      <c r="K348" s="300">
        <v>5.0000000000000044E-2</v>
      </c>
      <c r="L348" s="311">
        <f t="shared" ref="L348" si="234">Q348/U348</f>
        <v>1071552</v>
      </c>
      <c r="M348" s="299">
        <v>1</v>
      </c>
      <c r="N348" s="299" t="s">
        <v>686</v>
      </c>
      <c r="O348" s="250">
        <v>45500</v>
      </c>
      <c r="P348" s="316">
        <v>45626</v>
      </c>
      <c r="Q348" s="312">
        <v>4286208</v>
      </c>
      <c r="R348" s="317"/>
      <c r="S348" s="317"/>
      <c r="T348" s="312">
        <v>0</v>
      </c>
      <c r="U348" s="318">
        <v>4</v>
      </c>
      <c r="V348" s="312">
        <v>4286208</v>
      </c>
      <c r="W348" s="356">
        <v>1750000000</v>
      </c>
      <c r="X348" s="353">
        <v>-0.43899999999999995</v>
      </c>
      <c r="Y348" s="376"/>
      <c r="Z348" s="376" t="s">
        <v>376</v>
      </c>
      <c r="AA348" s="356">
        <v>981750000</v>
      </c>
      <c r="AB348" s="270" t="s">
        <v>243</v>
      </c>
      <c r="AC348" s="393" t="s">
        <v>373</v>
      </c>
      <c r="AD348" s="393" t="s">
        <v>361</v>
      </c>
      <c r="AE348" s="358" t="s">
        <v>244</v>
      </c>
      <c r="AF348" s="359" t="s">
        <v>748</v>
      </c>
      <c r="AG348" s="270">
        <v>80111600</v>
      </c>
      <c r="AH348" s="310" t="s">
        <v>737</v>
      </c>
      <c r="AI348" s="301" t="s">
        <v>393</v>
      </c>
      <c r="AJ348" s="301" t="s">
        <v>393</v>
      </c>
      <c r="AK348" s="302">
        <v>4</v>
      </c>
      <c r="AL348" s="303" t="s">
        <v>241</v>
      </c>
      <c r="AM348" s="304" t="s">
        <v>242</v>
      </c>
      <c r="AN348" s="305">
        <v>4286208</v>
      </c>
      <c r="AO348" s="305">
        <v>4286208</v>
      </c>
      <c r="AP348" s="303" t="s">
        <v>244</v>
      </c>
      <c r="AQ348" s="303" t="s">
        <v>245</v>
      </c>
      <c r="AR348" s="360" t="s">
        <v>246</v>
      </c>
      <c r="AS348" s="306" t="s">
        <v>247</v>
      </c>
      <c r="AT348" s="307" t="s">
        <v>372</v>
      </c>
      <c r="AU348" s="308" t="s">
        <v>248</v>
      </c>
      <c r="AV348" s="361" t="s">
        <v>249</v>
      </c>
      <c r="AW348" s="303" t="s">
        <v>244</v>
      </c>
      <c r="AX348" s="303" t="s">
        <v>361</v>
      </c>
      <c r="AY348" s="394" t="s">
        <v>250</v>
      </c>
      <c r="AZ348" s="394" t="s">
        <v>251</v>
      </c>
      <c r="BA348" s="394" t="s">
        <v>252</v>
      </c>
      <c r="BB348" s="394" t="s">
        <v>250</v>
      </c>
      <c r="BC348" s="394"/>
      <c r="BD348" s="394"/>
    </row>
    <row r="349" spans="1:56" customFormat="1" ht="48" x14ac:dyDescent="0.25">
      <c r="A349" s="257">
        <v>347</v>
      </c>
      <c r="B349" s="299" t="s">
        <v>90</v>
      </c>
      <c r="C349" s="299" t="s">
        <v>78</v>
      </c>
      <c r="D349" s="299" t="s">
        <v>375</v>
      </c>
      <c r="E349" s="299"/>
      <c r="F349" s="350" t="s">
        <v>383</v>
      </c>
      <c r="G349" s="350" t="s">
        <v>374</v>
      </c>
      <c r="H349" s="45" t="s">
        <v>69</v>
      </c>
      <c r="I349" s="299"/>
      <c r="J349" s="251">
        <v>1967592.5925925926</v>
      </c>
      <c r="K349" s="300">
        <v>5.0000000000000044E-2</v>
      </c>
      <c r="L349" s="311" t="s">
        <v>739</v>
      </c>
      <c r="M349" s="299">
        <v>1</v>
      </c>
      <c r="N349" s="299" t="s">
        <v>686</v>
      </c>
      <c r="O349" s="250">
        <v>45500</v>
      </c>
      <c r="P349" s="316">
        <v>45626</v>
      </c>
      <c r="Q349" s="312">
        <v>9865994</v>
      </c>
      <c r="R349" s="317"/>
      <c r="S349" s="317"/>
      <c r="T349" s="312">
        <v>0</v>
      </c>
      <c r="U349" s="318">
        <v>4</v>
      </c>
      <c r="V349" s="312">
        <v>9865994</v>
      </c>
      <c r="W349" s="356">
        <v>1750000000</v>
      </c>
      <c r="X349" s="353">
        <v>-0.43899999999999995</v>
      </c>
      <c r="Y349" s="376"/>
      <c r="Z349" s="376" t="s">
        <v>376</v>
      </c>
      <c r="AA349" s="356">
        <v>981750000</v>
      </c>
      <c r="AB349" s="270" t="s">
        <v>243</v>
      </c>
      <c r="AC349" s="393" t="s">
        <v>373</v>
      </c>
      <c r="AD349" s="393" t="s">
        <v>361</v>
      </c>
      <c r="AE349" s="358" t="s">
        <v>244</v>
      </c>
      <c r="AF349" s="359" t="s">
        <v>749</v>
      </c>
      <c r="AG349" s="270">
        <v>80111600</v>
      </c>
      <c r="AH349" s="310" t="s">
        <v>737</v>
      </c>
      <c r="AI349" s="301" t="s">
        <v>393</v>
      </c>
      <c r="AJ349" s="301" t="s">
        <v>393</v>
      </c>
      <c r="AK349" s="302">
        <v>4</v>
      </c>
      <c r="AL349" s="303" t="s">
        <v>241</v>
      </c>
      <c r="AM349" s="304" t="s">
        <v>242</v>
      </c>
      <c r="AN349" s="313">
        <v>9865994</v>
      </c>
      <c r="AO349" s="313">
        <v>9865994</v>
      </c>
      <c r="AP349" s="303" t="s">
        <v>244</v>
      </c>
      <c r="AQ349" s="303" t="s">
        <v>245</v>
      </c>
      <c r="AR349" s="360" t="s">
        <v>246</v>
      </c>
      <c r="AS349" s="306" t="s">
        <v>247</v>
      </c>
      <c r="AT349" s="307" t="s">
        <v>372</v>
      </c>
      <c r="AU349" s="308" t="s">
        <v>248</v>
      </c>
      <c r="AV349" s="361" t="s">
        <v>249</v>
      </c>
      <c r="AW349" s="303" t="s">
        <v>244</v>
      </c>
      <c r="AX349" s="303" t="s">
        <v>361</v>
      </c>
      <c r="AY349" s="394" t="s">
        <v>250</v>
      </c>
      <c r="AZ349" s="394" t="s">
        <v>251</v>
      </c>
      <c r="BA349" s="394" t="s">
        <v>252</v>
      </c>
      <c r="BB349" s="394" t="s">
        <v>250</v>
      </c>
      <c r="BC349" s="394"/>
      <c r="BD349" s="394"/>
    </row>
    <row r="350" spans="1:56" customFormat="1" ht="48" x14ac:dyDescent="0.25">
      <c r="A350" s="257">
        <v>348</v>
      </c>
      <c r="B350" s="299" t="s">
        <v>90</v>
      </c>
      <c r="C350" s="299" t="s">
        <v>78</v>
      </c>
      <c r="D350" s="299" t="s">
        <v>375</v>
      </c>
      <c r="E350" s="299"/>
      <c r="F350" s="350" t="s">
        <v>383</v>
      </c>
      <c r="G350" s="350" t="s">
        <v>374</v>
      </c>
      <c r="H350" s="45" t="s">
        <v>69</v>
      </c>
      <c r="I350" s="299"/>
      <c r="J350" s="251">
        <v>1967592.5925925926</v>
      </c>
      <c r="K350" s="300">
        <v>5.0000000000000044E-2</v>
      </c>
      <c r="L350" s="311" t="s">
        <v>739</v>
      </c>
      <c r="M350" s="299">
        <v>1</v>
      </c>
      <c r="N350" s="299" t="s">
        <v>686</v>
      </c>
      <c r="O350" s="250">
        <v>45500</v>
      </c>
      <c r="P350" s="316">
        <v>45626</v>
      </c>
      <c r="Q350" s="312">
        <v>15786438</v>
      </c>
      <c r="R350" s="317"/>
      <c r="S350" s="317"/>
      <c r="T350" s="312">
        <v>0</v>
      </c>
      <c r="U350" s="318">
        <v>4</v>
      </c>
      <c r="V350" s="312">
        <v>15786438</v>
      </c>
      <c r="W350" s="356">
        <v>1750000000</v>
      </c>
      <c r="X350" s="353">
        <v>-0.43899999999999995</v>
      </c>
      <c r="Y350" s="376"/>
      <c r="Z350" s="376" t="s">
        <v>376</v>
      </c>
      <c r="AA350" s="356">
        <v>981750000</v>
      </c>
      <c r="AB350" s="270" t="s">
        <v>243</v>
      </c>
      <c r="AC350" s="393" t="s">
        <v>373</v>
      </c>
      <c r="AD350" s="393" t="s">
        <v>361</v>
      </c>
      <c r="AE350" s="358" t="s">
        <v>244</v>
      </c>
      <c r="AF350" s="359" t="s">
        <v>750</v>
      </c>
      <c r="AG350" s="270">
        <v>80111600</v>
      </c>
      <c r="AH350" s="310" t="s">
        <v>737</v>
      </c>
      <c r="AI350" s="301" t="s">
        <v>393</v>
      </c>
      <c r="AJ350" s="301" t="s">
        <v>393</v>
      </c>
      <c r="AK350" s="302">
        <v>4</v>
      </c>
      <c r="AL350" s="303" t="s">
        <v>241</v>
      </c>
      <c r="AM350" s="304" t="s">
        <v>242</v>
      </c>
      <c r="AN350" s="313">
        <v>15786438</v>
      </c>
      <c r="AO350" s="313">
        <v>15786438</v>
      </c>
      <c r="AP350" s="303" t="s">
        <v>244</v>
      </c>
      <c r="AQ350" s="303" t="s">
        <v>245</v>
      </c>
      <c r="AR350" s="360" t="s">
        <v>246</v>
      </c>
      <c r="AS350" s="306" t="s">
        <v>247</v>
      </c>
      <c r="AT350" s="307" t="s">
        <v>372</v>
      </c>
      <c r="AU350" s="308" t="s">
        <v>248</v>
      </c>
      <c r="AV350" s="361" t="s">
        <v>249</v>
      </c>
      <c r="AW350" s="303" t="s">
        <v>244</v>
      </c>
      <c r="AX350" s="303" t="s">
        <v>361</v>
      </c>
      <c r="AY350" s="394" t="s">
        <v>250</v>
      </c>
      <c r="AZ350" s="394" t="s">
        <v>251</v>
      </c>
      <c r="BA350" s="394" t="s">
        <v>252</v>
      </c>
      <c r="BB350" s="394" t="s">
        <v>250</v>
      </c>
      <c r="BC350" s="394"/>
      <c r="BD350" s="394"/>
    </row>
    <row r="351" spans="1:56" ht="48" x14ac:dyDescent="0.2">
      <c r="A351" s="257">
        <v>349</v>
      </c>
      <c r="B351" s="299" t="s">
        <v>90</v>
      </c>
      <c r="C351" s="299" t="s">
        <v>78</v>
      </c>
      <c r="D351" s="299" t="s">
        <v>375</v>
      </c>
      <c r="E351" s="299"/>
      <c r="F351" s="350" t="s">
        <v>383</v>
      </c>
      <c r="G351" s="350" t="s">
        <v>374</v>
      </c>
      <c r="H351" s="45" t="s">
        <v>69</v>
      </c>
      <c r="I351" s="299"/>
      <c r="J351" s="309">
        <v>1967592.5925925926</v>
      </c>
      <c r="K351" s="300">
        <v>5.0000000000000044E-2</v>
      </c>
      <c r="L351" s="430">
        <v>1071552</v>
      </c>
      <c r="M351" s="299">
        <v>1</v>
      </c>
      <c r="N351" s="299" t="s">
        <v>686</v>
      </c>
      <c r="O351" s="250">
        <v>45500</v>
      </c>
      <c r="P351" s="316">
        <v>45626</v>
      </c>
      <c r="Q351" s="427">
        <v>4286208</v>
      </c>
      <c r="R351" s="317"/>
      <c r="S351" s="317"/>
      <c r="T351" s="427">
        <v>0</v>
      </c>
      <c r="U351" s="428">
        <v>4</v>
      </c>
      <c r="V351" s="427">
        <v>4283208</v>
      </c>
      <c r="W351" s="429">
        <v>1750000000</v>
      </c>
      <c r="X351" s="353">
        <v>-0.43899999999999995</v>
      </c>
      <c r="Y351" s="376"/>
      <c r="Z351" s="376" t="s">
        <v>376</v>
      </c>
      <c r="AA351" s="429">
        <v>981750000</v>
      </c>
      <c r="AB351" s="270" t="s">
        <v>243</v>
      </c>
      <c r="AC351" s="393" t="s">
        <v>373</v>
      </c>
      <c r="AD351" s="393" t="s">
        <v>361</v>
      </c>
      <c r="AE351" s="358" t="s">
        <v>244</v>
      </c>
      <c r="AF351" s="359" t="str">
        <f t="shared" si="233"/>
        <v>CLE-349</v>
      </c>
      <c r="AG351" s="270">
        <v>80111600</v>
      </c>
      <c r="AH351" s="310" t="s">
        <v>737</v>
      </c>
      <c r="AI351" s="301" t="s">
        <v>393</v>
      </c>
      <c r="AJ351" s="301" t="s">
        <v>393</v>
      </c>
      <c r="AK351" s="302">
        <v>4</v>
      </c>
      <c r="AL351" s="303" t="s">
        <v>241</v>
      </c>
      <c r="AM351" s="304" t="s">
        <v>242</v>
      </c>
      <c r="AN351" s="305">
        <v>4283208</v>
      </c>
      <c r="AO351" s="305">
        <v>4283208</v>
      </c>
      <c r="AP351" s="303" t="s">
        <v>244</v>
      </c>
      <c r="AQ351" s="303" t="s">
        <v>245</v>
      </c>
      <c r="AR351" s="360" t="s">
        <v>246</v>
      </c>
      <c r="AS351" s="306" t="s">
        <v>247</v>
      </c>
      <c r="AT351" s="307" t="s">
        <v>372</v>
      </c>
      <c r="AU351" s="308" t="s">
        <v>248</v>
      </c>
      <c r="AV351" s="361" t="s">
        <v>249</v>
      </c>
      <c r="AW351" s="303" t="s">
        <v>244</v>
      </c>
      <c r="AX351" s="303" t="s">
        <v>361</v>
      </c>
      <c r="AY351" s="394" t="s">
        <v>250</v>
      </c>
      <c r="AZ351" s="394" t="s">
        <v>251</v>
      </c>
      <c r="BA351" s="394" t="s">
        <v>252</v>
      </c>
      <c r="BB351" s="394" t="s">
        <v>250</v>
      </c>
      <c r="BC351" s="394"/>
      <c r="BD351" s="394"/>
    </row>
    <row r="352" spans="1:56" ht="48" x14ac:dyDescent="0.2">
      <c r="A352" s="257">
        <v>350</v>
      </c>
      <c r="B352" s="299" t="s">
        <v>90</v>
      </c>
      <c r="C352" s="299" t="s">
        <v>78</v>
      </c>
      <c r="D352" s="299" t="s">
        <v>375</v>
      </c>
      <c r="E352" s="299"/>
      <c r="F352" s="350" t="s">
        <v>383</v>
      </c>
      <c r="G352" s="350" t="s">
        <v>374</v>
      </c>
      <c r="H352" s="45" t="s">
        <v>69</v>
      </c>
      <c r="I352" s="299"/>
      <c r="J352" s="309">
        <v>1967592.5925925926</v>
      </c>
      <c r="K352" s="300">
        <v>5.0000000000000044E-2</v>
      </c>
      <c r="L352" s="430">
        <v>1071552</v>
      </c>
      <c r="M352" s="299">
        <v>1</v>
      </c>
      <c r="N352" s="299" t="s">
        <v>686</v>
      </c>
      <c r="O352" s="250">
        <v>45500</v>
      </c>
      <c r="P352" s="316">
        <v>45626</v>
      </c>
      <c r="Q352" s="427">
        <v>4286208</v>
      </c>
      <c r="R352" s="317"/>
      <c r="S352" s="317"/>
      <c r="T352" s="427">
        <v>0</v>
      </c>
      <c r="U352" s="428">
        <v>4</v>
      </c>
      <c r="V352" s="427">
        <v>4283208</v>
      </c>
      <c r="W352" s="429">
        <v>1750000000</v>
      </c>
      <c r="X352" s="353">
        <v>-0.43899999999999995</v>
      </c>
      <c r="Y352" s="376"/>
      <c r="Z352" s="376" t="s">
        <v>376</v>
      </c>
      <c r="AA352" s="429">
        <v>981750000</v>
      </c>
      <c r="AB352" s="270" t="s">
        <v>243</v>
      </c>
      <c r="AC352" s="393" t="s">
        <v>373</v>
      </c>
      <c r="AD352" s="393" t="s">
        <v>361</v>
      </c>
      <c r="AE352" s="358" t="s">
        <v>244</v>
      </c>
      <c r="AF352" s="359" t="str">
        <f t="shared" si="233"/>
        <v>CLE-350</v>
      </c>
      <c r="AG352" s="270">
        <v>80111600</v>
      </c>
      <c r="AH352" s="310" t="s">
        <v>737</v>
      </c>
      <c r="AI352" s="301" t="s">
        <v>393</v>
      </c>
      <c r="AJ352" s="301" t="s">
        <v>393</v>
      </c>
      <c r="AK352" s="302">
        <v>4</v>
      </c>
      <c r="AL352" s="303" t="s">
        <v>241</v>
      </c>
      <c r="AM352" s="304" t="s">
        <v>242</v>
      </c>
      <c r="AN352" s="305">
        <v>4283208</v>
      </c>
      <c r="AO352" s="305">
        <v>4283208</v>
      </c>
      <c r="AP352" s="303" t="s">
        <v>244</v>
      </c>
      <c r="AQ352" s="303" t="s">
        <v>245</v>
      </c>
      <c r="AR352" s="360" t="s">
        <v>246</v>
      </c>
      <c r="AS352" s="306" t="s">
        <v>247</v>
      </c>
      <c r="AT352" s="307" t="s">
        <v>372</v>
      </c>
      <c r="AU352" s="308" t="s">
        <v>248</v>
      </c>
      <c r="AV352" s="361" t="s">
        <v>249</v>
      </c>
      <c r="AW352" s="303" t="s">
        <v>244</v>
      </c>
      <c r="AX352" s="303" t="s">
        <v>361</v>
      </c>
      <c r="AY352" s="394" t="s">
        <v>250</v>
      </c>
      <c r="AZ352" s="394" t="s">
        <v>251</v>
      </c>
      <c r="BA352" s="394" t="s">
        <v>252</v>
      </c>
      <c r="BB352" s="394" t="s">
        <v>250</v>
      </c>
      <c r="BC352" s="394"/>
      <c r="BD352" s="394"/>
    </row>
    <row r="353" spans="1:56" ht="48" x14ac:dyDescent="0.2">
      <c r="A353" s="257">
        <v>351</v>
      </c>
      <c r="B353" s="299" t="s">
        <v>90</v>
      </c>
      <c r="C353" s="299" t="s">
        <v>78</v>
      </c>
      <c r="D353" s="299" t="s">
        <v>375</v>
      </c>
      <c r="E353" s="299"/>
      <c r="F353" s="350" t="s">
        <v>383</v>
      </c>
      <c r="G353" s="350" t="s">
        <v>374</v>
      </c>
      <c r="H353" s="45" t="s">
        <v>69</v>
      </c>
      <c r="I353" s="299"/>
      <c r="J353" s="309">
        <v>1967592.5925925926</v>
      </c>
      <c r="K353" s="300">
        <v>5.0000000000000044E-2</v>
      </c>
      <c r="L353" s="430">
        <v>1071552</v>
      </c>
      <c r="M353" s="299">
        <v>1</v>
      </c>
      <c r="N353" s="299" t="s">
        <v>686</v>
      </c>
      <c r="O353" s="250">
        <v>45500</v>
      </c>
      <c r="P353" s="316">
        <v>45626</v>
      </c>
      <c r="Q353" s="427">
        <v>4286208</v>
      </c>
      <c r="R353" s="317"/>
      <c r="S353" s="317"/>
      <c r="T353" s="427">
        <v>0</v>
      </c>
      <c r="U353" s="428">
        <v>4</v>
      </c>
      <c r="V353" s="427">
        <v>4283208</v>
      </c>
      <c r="W353" s="429">
        <v>1750000000</v>
      </c>
      <c r="X353" s="353">
        <v>-0.43899999999999995</v>
      </c>
      <c r="Y353" s="376"/>
      <c r="Z353" s="376" t="s">
        <v>376</v>
      </c>
      <c r="AA353" s="429">
        <v>981750000</v>
      </c>
      <c r="AB353" s="270" t="s">
        <v>243</v>
      </c>
      <c r="AC353" s="393" t="s">
        <v>373</v>
      </c>
      <c r="AD353" s="393" t="s">
        <v>361</v>
      </c>
      <c r="AE353" s="358" t="s">
        <v>244</v>
      </c>
      <c r="AF353" s="359" t="str">
        <f t="shared" si="233"/>
        <v>CLE-351</v>
      </c>
      <c r="AG353" s="270">
        <v>80111600</v>
      </c>
      <c r="AH353" s="310" t="s">
        <v>737</v>
      </c>
      <c r="AI353" s="301" t="s">
        <v>393</v>
      </c>
      <c r="AJ353" s="301" t="s">
        <v>393</v>
      </c>
      <c r="AK353" s="302">
        <v>4</v>
      </c>
      <c r="AL353" s="303" t="s">
        <v>241</v>
      </c>
      <c r="AM353" s="304" t="s">
        <v>242</v>
      </c>
      <c r="AN353" s="305">
        <v>4283208</v>
      </c>
      <c r="AO353" s="305">
        <v>4283208</v>
      </c>
      <c r="AP353" s="303" t="s">
        <v>244</v>
      </c>
      <c r="AQ353" s="303" t="s">
        <v>245</v>
      </c>
      <c r="AR353" s="360" t="s">
        <v>246</v>
      </c>
      <c r="AS353" s="306" t="s">
        <v>247</v>
      </c>
      <c r="AT353" s="307" t="s">
        <v>372</v>
      </c>
      <c r="AU353" s="308" t="s">
        <v>248</v>
      </c>
      <c r="AV353" s="361" t="s">
        <v>249</v>
      </c>
      <c r="AW353" s="303" t="s">
        <v>244</v>
      </c>
      <c r="AX353" s="303" t="s">
        <v>361</v>
      </c>
      <c r="AY353" s="394" t="s">
        <v>250</v>
      </c>
      <c r="AZ353" s="394" t="s">
        <v>251</v>
      </c>
      <c r="BA353" s="394" t="s">
        <v>252</v>
      </c>
      <c r="BB353" s="394" t="s">
        <v>250</v>
      </c>
      <c r="BC353" s="394"/>
      <c r="BD353" s="394"/>
    </row>
    <row r="354" spans="1:56" ht="48" x14ac:dyDescent="0.2">
      <c r="A354" s="257">
        <v>352</v>
      </c>
      <c r="B354" s="299" t="s">
        <v>90</v>
      </c>
      <c r="C354" s="299" t="s">
        <v>78</v>
      </c>
      <c r="D354" s="299" t="s">
        <v>375</v>
      </c>
      <c r="E354" s="299"/>
      <c r="F354" s="350" t="s">
        <v>383</v>
      </c>
      <c r="G354" s="350" t="s">
        <v>374</v>
      </c>
      <c r="H354" s="45" t="s">
        <v>69</v>
      </c>
      <c r="I354" s="299"/>
      <c r="J354" s="309">
        <v>1967595.59259259</v>
      </c>
      <c r="K354" s="300">
        <v>3.05</v>
      </c>
      <c r="L354" s="311">
        <v>1769025</v>
      </c>
      <c r="M354" s="299">
        <v>1</v>
      </c>
      <c r="N354" s="299" t="s">
        <v>686</v>
      </c>
      <c r="O354" s="250">
        <v>45500</v>
      </c>
      <c r="P354" s="316">
        <v>45626</v>
      </c>
      <c r="Q354" s="427">
        <v>7076100</v>
      </c>
      <c r="R354" s="317"/>
      <c r="S354" s="317"/>
      <c r="T354" s="427">
        <v>0</v>
      </c>
      <c r="U354" s="428">
        <v>4</v>
      </c>
      <c r="V354" s="312">
        <v>7076100</v>
      </c>
      <c r="W354" s="429">
        <v>1750000000</v>
      </c>
      <c r="X354" s="353">
        <v>2.5609999999999999</v>
      </c>
      <c r="Y354" s="376"/>
      <c r="Z354" s="376" t="s">
        <v>376</v>
      </c>
      <c r="AA354" s="429">
        <v>981750003</v>
      </c>
      <c r="AB354" s="270" t="s">
        <v>243</v>
      </c>
      <c r="AC354" s="393" t="s">
        <v>373</v>
      </c>
      <c r="AD354" s="393" t="s">
        <v>361</v>
      </c>
      <c r="AE354" s="358" t="s">
        <v>244</v>
      </c>
      <c r="AF354" s="359" t="str">
        <f t="shared" si="233"/>
        <v>CLE-352</v>
      </c>
      <c r="AG354" s="270">
        <v>80111600</v>
      </c>
      <c r="AH354" s="310" t="s">
        <v>737</v>
      </c>
      <c r="AI354" s="301" t="s">
        <v>393</v>
      </c>
      <c r="AJ354" s="301" t="s">
        <v>393</v>
      </c>
      <c r="AK354" s="302">
        <v>4</v>
      </c>
      <c r="AL354" s="303" t="s">
        <v>241</v>
      </c>
      <c r="AM354" s="304" t="s">
        <v>242</v>
      </c>
      <c r="AN354" s="305">
        <v>7076100</v>
      </c>
      <c r="AO354" s="305">
        <v>7076100</v>
      </c>
      <c r="AP354" s="303" t="s">
        <v>244</v>
      </c>
      <c r="AQ354" s="303" t="s">
        <v>245</v>
      </c>
      <c r="AR354" s="360" t="s">
        <v>246</v>
      </c>
      <c r="AS354" s="306" t="s">
        <v>247</v>
      </c>
      <c r="AT354" s="307" t="s">
        <v>372</v>
      </c>
      <c r="AU354" s="308" t="s">
        <v>740</v>
      </c>
      <c r="AV354" s="361" t="s">
        <v>249</v>
      </c>
      <c r="AW354" s="303" t="s">
        <v>244</v>
      </c>
      <c r="AX354" s="303" t="s">
        <v>361</v>
      </c>
      <c r="AY354" s="394" t="s">
        <v>250</v>
      </c>
      <c r="AZ354" s="394" t="s">
        <v>251</v>
      </c>
      <c r="BA354" s="394" t="s">
        <v>252</v>
      </c>
      <c r="BB354" s="394" t="s">
        <v>250</v>
      </c>
      <c r="BC354" s="394"/>
      <c r="BD354" s="394"/>
    </row>
    <row r="355" spans="1:56" ht="48" x14ac:dyDescent="0.2">
      <c r="A355" s="257">
        <v>353</v>
      </c>
      <c r="B355" s="299" t="s">
        <v>90</v>
      </c>
      <c r="C355" s="299" t="s">
        <v>78</v>
      </c>
      <c r="D355" s="299" t="s">
        <v>375</v>
      </c>
      <c r="E355" s="299"/>
      <c r="F355" s="350" t="s">
        <v>383</v>
      </c>
      <c r="G355" s="350" t="s">
        <v>374</v>
      </c>
      <c r="H355" s="45" t="s">
        <v>69</v>
      </c>
      <c r="I355" s="299"/>
      <c r="J355" s="309">
        <v>1967595.59259259</v>
      </c>
      <c r="K355" s="300">
        <v>3.05</v>
      </c>
      <c r="L355" s="311">
        <v>1769025</v>
      </c>
      <c r="M355" s="299">
        <v>1</v>
      </c>
      <c r="N355" s="299" t="s">
        <v>686</v>
      </c>
      <c r="O355" s="250">
        <v>45500</v>
      </c>
      <c r="P355" s="316">
        <v>45626</v>
      </c>
      <c r="Q355" s="427">
        <v>7076100</v>
      </c>
      <c r="R355" s="317"/>
      <c r="S355" s="317"/>
      <c r="T355" s="427">
        <v>0</v>
      </c>
      <c r="U355" s="428">
        <v>4</v>
      </c>
      <c r="V355" s="312">
        <v>7076100</v>
      </c>
      <c r="W355" s="429">
        <v>1750000000</v>
      </c>
      <c r="X355" s="353">
        <v>2.5609999999999999</v>
      </c>
      <c r="Y355" s="376"/>
      <c r="Z355" s="376" t="s">
        <v>376</v>
      </c>
      <c r="AA355" s="429">
        <v>981750003</v>
      </c>
      <c r="AB355" s="270" t="s">
        <v>243</v>
      </c>
      <c r="AC355" s="393" t="s">
        <v>373</v>
      </c>
      <c r="AD355" s="393" t="s">
        <v>361</v>
      </c>
      <c r="AE355" s="358" t="s">
        <v>244</v>
      </c>
      <c r="AF355" s="359" t="str">
        <f t="shared" si="233"/>
        <v>CLE-353</v>
      </c>
      <c r="AG355" s="270">
        <v>80111600</v>
      </c>
      <c r="AH355" s="310" t="s">
        <v>737</v>
      </c>
      <c r="AI355" s="301" t="s">
        <v>393</v>
      </c>
      <c r="AJ355" s="301" t="s">
        <v>393</v>
      </c>
      <c r="AK355" s="302">
        <v>4</v>
      </c>
      <c r="AL355" s="303" t="s">
        <v>241</v>
      </c>
      <c r="AM355" s="304" t="s">
        <v>242</v>
      </c>
      <c r="AN355" s="305">
        <v>7076100</v>
      </c>
      <c r="AO355" s="305">
        <v>7076100</v>
      </c>
      <c r="AP355" s="303" t="s">
        <v>244</v>
      </c>
      <c r="AQ355" s="303" t="s">
        <v>245</v>
      </c>
      <c r="AR355" s="360" t="s">
        <v>246</v>
      </c>
      <c r="AS355" s="306" t="s">
        <v>247</v>
      </c>
      <c r="AT355" s="307" t="s">
        <v>372</v>
      </c>
      <c r="AU355" s="308" t="s">
        <v>740</v>
      </c>
      <c r="AV355" s="361" t="s">
        <v>249</v>
      </c>
      <c r="AW355" s="303" t="s">
        <v>244</v>
      </c>
      <c r="AX355" s="303" t="s">
        <v>361</v>
      </c>
      <c r="AY355" s="394" t="s">
        <v>250</v>
      </c>
      <c r="AZ355" s="394" t="s">
        <v>251</v>
      </c>
      <c r="BA355" s="394" t="s">
        <v>252</v>
      </c>
      <c r="BB355" s="394" t="s">
        <v>250</v>
      </c>
      <c r="BC355" s="394"/>
      <c r="BD355" s="394"/>
    </row>
    <row r="356" spans="1:56" ht="48" x14ac:dyDescent="0.2">
      <c r="A356" s="257">
        <v>354</v>
      </c>
      <c r="B356" s="299" t="s">
        <v>90</v>
      </c>
      <c r="C356" s="299" t="s">
        <v>78</v>
      </c>
      <c r="D356" s="299" t="s">
        <v>375</v>
      </c>
      <c r="E356" s="299"/>
      <c r="F356" s="350" t="s">
        <v>383</v>
      </c>
      <c r="G356" s="350" t="s">
        <v>374</v>
      </c>
      <c r="H356" s="45" t="s">
        <v>69</v>
      </c>
      <c r="I356" s="299"/>
      <c r="J356" s="309">
        <v>1967595.59259259</v>
      </c>
      <c r="K356" s="300">
        <v>3.05</v>
      </c>
      <c r="L356" s="311">
        <v>1769025</v>
      </c>
      <c r="M356" s="299">
        <v>1</v>
      </c>
      <c r="N356" s="299" t="s">
        <v>686</v>
      </c>
      <c r="O356" s="250">
        <v>45500</v>
      </c>
      <c r="P356" s="316">
        <v>45626</v>
      </c>
      <c r="Q356" s="427">
        <v>7076100</v>
      </c>
      <c r="R356" s="317"/>
      <c r="S356" s="317"/>
      <c r="T356" s="427">
        <v>0</v>
      </c>
      <c r="U356" s="428">
        <v>4</v>
      </c>
      <c r="V356" s="312">
        <v>7076100</v>
      </c>
      <c r="W356" s="429">
        <v>1750000000</v>
      </c>
      <c r="X356" s="353">
        <v>2.5609999999999999</v>
      </c>
      <c r="Y356" s="376"/>
      <c r="Z356" s="376" t="s">
        <v>376</v>
      </c>
      <c r="AA356" s="429">
        <v>981750003</v>
      </c>
      <c r="AB356" s="270" t="s">
        <v>243</v>
      </c>
      <c r="AC356" s="393" t="s">
        <v>373</v>
      </c>
      <c r="AD356" s="393" t="s">
        <v>361</v>
      </c>
      <c r="AE356" s="358" t="s">
        <v>244</v>
      </c>
      <c r="AF356" s="359" t="str">
        <f t="shared" si="233"/>
        <v>CLE-354</v>
      </c>
      <c r="AG356" s="270">
        <v>80111600</v>
      </c>
      <c r="AH356" s="310" t="s">
        <v>737</v>
      </c>
      <c r="AI356" s="301" t="s">
        <v>393</v>
      </c>
      <c r="AJ356" s="301" t="s">
        <v>393</v>
      </c>
      <c r="AK356" s="302">
        <v>4</v>
      </c>
      <c r="AL356" s="303" t="s">
        <v>241</v>
      </c>
      <c r="AM356" s="304" t="s">
        <v>242</v>
      </c>
      <c r="AN356" s="305">
        <v>7076100</v>
      </c>
      <c r="AO356" s="305">
        <v>7076100</v>
      </c>
      <c r="AP356" s="303" t="s">
        <v>244</v>
      </c>
      <c r="AQ356" s="303" t="s">
        <v>245</v>
      </c>
      <c r="AR356" s="360" t="s">
        <v>246</v>
      </c>
      <c r="AS356" s="306" t="s">
        <v>247</v>
      </c>
      <c r="AT356" s="307" t="s">
        <v>372</v>
      </c>
      <c r="AU356" s="308" t="s">
        <v>740</v>
      </c>
      <c r="AV356" s="361" t="s">
        <v>249</v>
      </c>
      <c r="AW356" s="303" t="s">
        <v>244</v>
      </c>
      <c r="AX356" s="303" t="s">
        <v>361</v>
      </c>
      <c r="AY356" s="394" t="s">
        <v>250</v>
      </c>
      <c r="AZ356" s="394" t="s">
        <v>251</v>
      </c>
      <c r="BA356" s="394" t="s">
        <v>252</v>
      </c>
      <c r="BB356" s="394" t="s">
        <v>250</v>
      </c>
      <c r="BC356" s="394"/>
      <c r="BD356" s="394"/>
    </row>
    <row r="357" spans="1:56" ht="48" x14ac:dyDescent="0.2">
      <c r="A357" s="257">
        <v>355</v>
      </c>
      <c r="B357" s="299" t="s">
        <v>90</v>
      </c>
      <c r="C357" s="299" t="s">
        <v>78</v>
      </c>
      <c r="D357" s="299" t="s">
        <v>375</v>
      </c>
      <c r="E357" s="299"/>
      <c r="F357" s="350" t="s">
        <v>383</v>
      </c>
      <c r="G357" s="350" t="s">
        <v>374</v>
      </c>
      <c r="H357" s="45" t="s">
        <v>69</v>
      </c>
      <c r="I357" s="299"/>
      <c r="J357" s="309">
        <v>1967595.59259259</v>
      </c>
      <c r="K357" s="300">
        <v>3.05</v>
      </c>
      <c r="L357" s="311">
        <v>1769025</v>
      </c>
      <c r="M357" s="299">
        <v>1</v>
      </c>
      <c r="N357" s="299" t="s">
        <v>686</v>
      </c>
      <c r="O357" s="250">
        <v>45500</v>
      </c>
      <c r="P357" s="316">
        <v>45626</v>
      </c>
      <c r="Q357" s="427">
        <v>7076100</v>
      </c>
      <c r="R357" s="317"/>
      <c r="S357" s="317"/>
      <c r="T357" s="427">
        <v>0</v>
      </c>
      <c r="U357" s="428">
        <v>4</v>
      </c>
      <c r="V357" s="312">
        <v>7076100</v>
      </c>
      <c r="W357" s="429">
        <v>1750000000</v>
      </c>
      <c r="X357" s="353">
        <v>2.5609999999999999</v>
      </c>
      <c r="Y357" s="376"/>
      <c r="Z357" s="376" t="s">
        <v>376</v>
      </c>
      <c r="AA357" s="429">
        <v>981750003</v>
      </c>
      <c r="AB357" s="270" t="s">
        <v>243</v>
      </c>
      <c r="AC357" s="393" t="s">
        <v>373</v>
      </c>
      <c r="AD357" s="393" t="s">
        <v>361</v>
      </c>
      <c r="AE357" s="358" t="s">
        <v>244</v>
      </c>
      <c r="AF357" s="359" t="str">
        <f t="shared" si="233"/>
        <v>CLE-355</v>
      </c>
      <c r="AG357" s="270">
        <v>80111600</v>
      </c>
      <c r="AH357" s="310" t="s">
        <v>737</v>
      </c>
      <c r="AI357" s="301" t="s">
        <v>393</v>
      </c>
      <c r="AJ357" s="301" t="s">
        <v>393</v>
      </c>
      <c r="AK357" s="302">
        <v>4</v>
      </c>
      <c r="AL357" s="303" t="s">
        <v>241</v>
      </c>
      <c r="AM357" s="304" t="s">
        <v>242</v>
      </c>
      <c r="AN357" s="305">
        <v>7076100</v>
      </c>
      <c r="AO357" s="305">
        <v>7076100</v>
      </c>
      <c r="AP357" s="303" t="s">
        <v>244</v>
      </c>
      <c r="AQ357" s="303" t="s">
        <v>245</v>
      </c>
      <c r="AR357" s="360" t="s">
        <v>246</v>
      </c>
      <c r="AS357" s="306" t="s">
        <v>247</v>
      </c>
      <c r="AT357" s="307" t="s">
        <v>372</v>
      </c>
      <c r="AU357" s="308" t="s">
        <v>740</v>
      </c>
      <c r="AV357" s="361" t="s">
        <v>249</v>
      </c>
      <c r="AW357" s="303" t="s">
        <v>244</v>
      </c>
      <c r="AX357" s="303" t="s">
        <v>361</v>
      </c>
      <c r="AY357" s="394" t="s">
        <v>250</v>
      </c>
      <c r="AZ357" s="394" t="s">
        <v>251</v>
      </c>
      <c r="BA357" s="394" t="s">
        <v>252</v>
      </c>
      <c r="BB357" s="394" t="s">
        <v>250</v>
      </c>
      <c r="BC357" s="394"/>
      <c r="BD357" s="394"/>
    </row>
    <row r="358" spans="1:56" customFormat="1" ht="48" x14ac:dyDescent="0.25">
      <c r="A358" s="257">
        <v>356</v>
      </c>
      <c r="B358" s="299" t="s">
        <v>90</v>
      </c>
      <c r="C358" s="299" t="s">
        <v>78</v>
      </c>
      <c r="D358" s="299" t="s">
        <v>375</v>
      </c>
      <c r="E358" s="299"/>
      <c r="F358" s="350" t="s">
        <v>383</v>
      </c>
      <c r="G358" s="350" t="s">
        <v>374</v>
      </c>
      <c r="H358" s="45" t="s">
        <v>69</v>
      </c>
      <c r="I358" s="299"/>
      <c r="J358" s="251">
        <v>1967595.59259259</v>
      </c>
      <c r="K358" s="300">
        <v>3.05</v>
      </c>
      <c r="L358" s="311" t="s">
        <v>739</v>
      </c>
      <c r="M358" s="299">
        <v>1</v>
      </c>
      <c r="N358" s="299" t="s">
        <v>686</v>
      </c>
      <c r="O358" s="250">
        <v>45500</v>
      </c>
      <c r="P358" s="316">
        <v>45626</v>
      </c>
      <c r="Q358" s="312">
        <v>15786438</v>
      </c>
      <c r="R358" s="317"/>
      <c r="S358" s="317"/>
      <c r="T358" s="312">
        <v>0</v>
      </c>
      <c r="U358" s="318">
        <v>4</v>
      </c>
      <c r="V358" s="312">
        <v>15786438</v>
      </c>
      <c r="W358" s="356">
        <v>1750000000</v>
      </c>
      <c r="X358" s="353">
        <v>2.5609999999999999</v>
      </c>
      <c r="Y358" s="376"/>
      <c r="Z358" s="376" t="s">
        <v>376</v>
      </c>
      <c r="AA358" s="356">
        <v>981750003</v>
      </c>
      <c r="AB358" s="270" t="s">
        <v>243</v>
      </c>
      <c r="AC358" s="393" t="s">
        <v>373</v>
      </c>
      <c r="AD358" s="393" t="s">
        <v>361</v>
      </c>
      <c r="AE358" s="358" t="s">
        <v>244</v>
      </c>
      <c r="AF358" s="359" t="s">
        <v>751</v>
      </c>
      <c r="AG358" s="270">
        <v>80111603</v>
      </c>
      <c r="AH358" s="310" t="s">
        <v>737</v>
      </c>
      <c r="AI358" s="301" t="s">
        <v>393</v>
      </c>
      <c r="AJ358" s="301" t="s">
        <v>393</v>
      </c>
      <c r="AK358" s="302">
        <v>4</v>
      </c>
      <c r="AL358" s="303" t="s">
        <v>241</v>
      </c>
      <c r="AM358" s="304" t="s">
        <v>242</v>
      </c>
      <c r="AN358" s="313">
        <v>15786438</v>
      </c>
      <c r="AO358" s="313">
        <v>15786438</v>
      </c>
      <c r="AP358" s="303" t="s">
        <v>244</v>
      </c>
      <c r="AQ358" s="303" t="s">
        <v>245</v>
      </c>
      <c r="AR358" s="360" t="s">
        <v>246</v>
      </c>
      <c r="AS358" s="306" t="s">
        <v>247</v>
      </c>
      <c r="AT358" s="307" t="s">
        <v>372</v>
      </c>
      <c r="AU358" s="308" t="s">
        <v>740</v>
      </c>
      <c r="AV358" s="361" t="s">
        <v>249</v>
      </c>
      <c r="AW358" s="303" t="s">
        <v>244</v>
      </c>
      <c r="AX358" s="303" t="s">
        <v>361</v>
      </c>
      <c r="AY358" s="394" t="s">
        <v>250</v>
      </c>
      <c r="AZ358" s="394" t="s">
        <v>251</v>
      </c>
      <c r="BA358" s="394" t="s">
        <v>252</v>
      </c>
      <c r="BB358" s="394" t="s">
        <v>250</v>
      </c>
      <c r="BC358" s="394"/>
      <c r="BD358" s="394"/>
    </row>
    <row r="359" spans="1:56" customFormat="1" ht="48" x14ac:dyDescent="0.25">
      <c r="A359" s="257">
        <v>357</v>
      </c>
      <c r="B359" s="299" t="s">
        <v>90</v>
      </c>
      <c r="C359" s="299" t="s">
        <v>78</v>
      </c>
      <c r="D359" s="299" t="s">
        <v>375</v>
      </c>
      <c r="E359" s="299"/>
      <c r="F359" s="350" t="s">
        <v>383</v>
      </c>
      <c r="G359" s="350" t="s">
        <v>374</v>
      </c>
      <c r="H359" s="45" t="s">
        <v>67</v>
      </c>
      <c r="I359" s="299"/>
      <c r="J359" s="251">
        <v>1967595.59259259</v>
      </c>
      <c r="K359" s="300">
        <v>3.05</v>
      </c>
      <c r="L359" s="311" t="s">
        <v>739</v>
      </c>
      <c r="M359" s="299">
        <v>1</v>
      </c>
      <c r="N359" s="299" t="s">
        <v>686</v>
      </c>
      <c r="O359" s="250">
        <v>45500</v>
      </c>
      <c r="P359" s="316">
        <v>45626</v>
      </c>
      <c r="Q359" s="312">
        <v>16245834</v>
      </c>
      <c r="R359" s="317"/>
      <c r="S359" s="317"/>
      <c r="T359" s="312">
        <v>0</v>
      </c>
      <c r="U359" s="318">
        <v>4</v>
      </c>
      <c r="V359" s="312">
        <v>16245834</v>
      </c>
      <c r="W359" s="356">
        <v>1750000000</v>
      </c>
      <c r="X359" s="353">
        <v>2.5609999999999999</v>
      </c>
      <c r="Y359" s="376"/>
      <c r="Z359" s="376" t="s">
        <v>376</v>
      </c>
      <c r="AA359" s="356">
        <v>981750003</v>
      </c>
      <c r="AB359" s="270" t="s">
        <v>243</v>
      </c>
      <c r="AC359" s="393" t="s">
        <v>373</v>
      </c>
      <c r="AD359" s="393" t="s">
        <v>361</v>
      </c>
      <c r="AE359" s="358" t="s">
        <v>244</v>
      </c>
      <c r="AF359" s="359" t="s">
        <v>752</v>
      </c>
      <c r="AG359" s="270">
        <v>80111603</v>
      </c>
      <c r="AH359" s="310" t="s">
        <v>737</v>
      </c>
      <c r="AI359" s="301" t="s">
        <v>393</v>
      </c>
      <c r="AJ359" s="301" t="s">
        <v>393</v>
      </c>
      <c r="AK359" s="302">
        <v>4</v>
      </c>
      <c r="AL359" s="303" t="s">
        <v>241</v>
      </c>
      <c r="AM359" s="304" t="s">
        <v>242</v>
      </c>
      <c r="AN359" s="313">
        <v>16245834</v>
      </c>
      <c r="AO359" s="313">
        <v>16245834</v>
      </c>
      <c r="AP359" s="303" t="s">
        <v>244</v>
      </c>
      <c r="AQ359" s="303" t="s">
        <v>245</v>
      </c>
      <c r="AR359" s="360" t="s">
        <v>246</v>
      </c>
      <c r="AS359" s="306" t="s">
        <v>247</v>
      </c>
      <c r="AT359" s="307" t="s">
        <v>372</v>
      </c>
      <c r="AU359" s="308" t="s">
        <v>740</v>
      </c>
      <c r="AV359" s="361" t="s">
        <v>249</v>
      </c>
      <c r="AW359" s="303" t="s">
        <v>244</v>
      </c>
      <c r="AX359" s="303" t="s">
        <v>361</v>
      </c>
      <c r="AY359" s="394" t="s">
        <v>250</v>
      </c>
      <c r="AZ359" s="394" t="s">
        <v>251</v>
      </c>
      <c r="BA359" s="394" t="s">
        <v>252</v>
      </c>
      <c r="BB359" s="394" t="s">
        <v>250</v>
      </c>
      <c r="BC359" s="394"/>
      <c r="BD359" s="394"/>
    </row>
    <row r="360" spans="1:56" customFormat="1" ht="48" x14ac:dyDescent="0.25">
      <c r="A360" s="257">
        <v>358</v>
      </c>
      <c r="B360" s="299" t="s">
        <v>90</v>
      </c>
      <c r="C360" s="299" t="s">
        <v>78</v>
      </c>
      <c r="D360" s="299" t="s">
        <v>375</v>
      </c>
      <c r="E360" s="299"/>
      <c r="F360" s="350" t="s">
        <v>383</v>
      </c>
      <c r="G360" s="350" t="s">
        <v>374</v>
      </c>
      <c r="H360" s="45" t="s">
        <v>69</v>
      </c>
      <c r="I360" s="299"/>
      <c r="J360" s="251">
        <v>1967595.59259259</v>
      </c>
      <c r="K360" s="300">
        <v>3.05</v>
      </c>
      <c r="L360" s="311" t="s">
        <v>739</v>
      </c>
      <c r="M360" s="299">
        <v>1</v>
      </c>
      <c r="N360" s="299" t="s">
        <v>686</v>
      </c>
      <c r="O360" s="250">
        <v>45500</v>
      </c>
      <c r="P360" s="316">
        <v>45626</v>
      </c>
      <c r="Q360" s="312">
        <v>9865994</v>
      </c>
      <c r="R360" s="317"/>
      <c r="S360" s="317"/>
      <c r="T360" s="312">
        <v>0</v>
      </c>
      <c r="U360" s="318">
        <v>4</v>
      </c>
      <c r="V360" s="312">
        <v>9865994</v>
      </c>
      <c r="W360" s="356">
        <v>1750000000</v>
      </c>
      <c r="X360" s="353">
        <v>2.5609999999999999</v>
      </c>
      <c r="Y360" s="376"/>
      <c r="Z360" s="376" t="s">
        <v>376</v>
      </c>
      <c r="AA360" s="356">
        <v>981750003</v>
      </c>
      <c r="AB360" s="270" t="s">
        <v>243</v>
      </c>
      <c r="AC360" s="393" t="s">
        <v>373</v>
      </c>
      <c r="AD360" s="393" t="s">
        <v>361</v>
      </c>
      <c r="AE360" s="358" t="s">
        <v>244</v>
      </c>
      <c r="AF360" s="359" t="s">
        <v>753</v>
      </c>
      <c r="AG360" s="270">
        <v>80111603</v>
      </c>
      <c r="AH360" s="310" t="s">
        <v>737</v>
      </c>
      <c r="AI360" s="301" t="s">
        <v>393</v>
      </c>
      <c r="AJ360" s="301" t="s">
        <v>393</v>
      </c>
      <c r="AK360" s="302">
        <v>4</v>
      </c>
      <c r="AL360" s="303" t="s">
        <v>241</v>
      </c>
      <c r="AM360" s="304" t="s">
        <v>242</v>
      </c>
      <c r="AN360" s="313">
        <v>9865994</v>
      </c>
      <c r="AO360" s="313">
        <v>9865994</v>
      </c>
      <c r="AP360" s="303" t="s">
        <v>244</v>
      </c>
      <c r="AQ360" s="303" t="s">
        <v>245</v>
      </c>
      <c r="AR360" s="360" t="s">
        <v>246</v>
      </c>
      <c r="AS360" s="306" t="s">
        <v>247</v>
      </c>
      <c r="AT360" s="307" t="s">
        <v>372</v>
      </c>
      <c r="AU360" s="308" t="s">
        <v>740</v>
      </c>
      <c r="AV360" s="361" t="s">
        <v>249</v>
      </c>
      <c r="AW360" s="303" t="s">
        <v>244</v>
      </c>
      <c r="AX360" s="303" t="s">
        <v>361</v>
      </c>
      <c r="AY360" s="394" t="s">
        <v>250</v>
      </c>
      <c r="AZ360" s="394" t="s">
        <v>251</v>
      </c>
      <c r="BA360" s="394" t="s">
        <v>252</v>
      </c>
      <c r="BB360" s="394" t="s">
        <v>250</v>
      </c>
      <c r="BC360" s="394"/>
      <c r="BD360" s="394"/>
    </row>
    <row r="361" spans="1:56" customFormat="1" ht="48" x14ac:dyDescent="0.25">
      <c r="A361" s="257">
        <v>359</v>
      </c>
      <c r="B361" s="299" t="s">
        <v>90</v>
      </c>
      <c r="C361" s="299" t="s">
        <v>78</v>
      </c>
      <c r="D361" s="299" t="s">
        <v>375</v>
      </c>
      <c r="E361" s="299"/>
      <c r="F361" s="350" t="s">
        <v>383</v>
      </c>
      <c r="G361" s="350" t="s">
        <v>374</v>
      </c>
      <c r="H361" s="45" t="s">
        <v>67</v>
      </c>
      <c r="I361" s="299"/>
      <c r="J361" s="251">
        <v>1967592.5925925926</v>
      </c>
      <c r="K361" s="300">
        <v>5.0000000000000044E-2</v>
      </c>
      <c r="L361" s="416">
        <v>1225061</v>
      </c>
      <c r="M361" s="299">
        <v>1</v>
      </c>
      <c r="N361" s="299" t="s">
        <v>686</v>
      </c>
      <c r="O361" s="250">
        <v>45507</v>
      </c>
      <c r="P361" s="316">
        <v>45626</v>
      </c>
      <c r="Q361" s="312">
        <v>4900244</v>
      </c>
      <c r="R361" s="317"/>
      <c r="S361" s="317"/>
      <c r="T361" s="312">
        <v>0</v>
      </c>
      <c r="U361" s="318">
        <v>5</v>
      </c>
      <c r="V361" s="312">
        <v>4900244</v>
      </c>
      <c r="W361" s="356">
        <v>1750000000</v>
      </c>
      <c r="X361" s="353">
        <v>-0.43899999999999995</v>
      </c>
      <c r="Y361" s="376"/>
      <c r="Z361" s="376" t="s">
        <v>376</v>
      </c>
      <c r="AA361" s="356">
        <v>981750000</v>
      </c>
      <c r="AB361" s="270" t="s">
        <v>243</v>
      </c>
      <c r="AC361" s="393" t="s">
        <v>373</v>
      </c>
      <c r="AD361" s="393" t="s">
        <v>361</v>
      </c>
      <c r="AE361" s="358" t="s">
        <v>244</v>
      </c>
      <c r="AF361" s="315" t="s">
        <v>754</v>
      </c>
      <c r="AG361" s="270">
        <v>80111600</v>
      </c>
      <c r="AH361" s="310" t="s">
        <v>737</v>
      </c>
      <c r="AI361" s="301" t="s">
        <v>769</v>
      </c>
      <c r="AJ361" s="301" t="s">
        <v>769</v>
      </c>
      <c r="AK361" s="302">
        <v>5</v>
      </c>
      <c r="AL361" s="303" t="s">
        <v>241</v>
      </c>
      <c r="AM361" s="304" t="s">
        <v>242</v>
      </c>
      <c r="AN361" s="313">
        <v>4900244</v>
      </c>
      <c r="AO361" s="313">
        <v>4900244</v>
      </c>
      <c r="AP361" s="303" t="s">
        <v>244</v>
      </c>
      <c r="AQ361" s="303" t="s">
        <v>245</v>
      </c>
      <c r="AR361" s="360" t="s">
        <v>246</v>
      </c>
      <c r="AS361" s="306" t="s">
        <v>247</v>
      </c>
      <c r="AT361" s="307" t="s">
        <v>372</v>
      </c>
      <c r="AU361" s="308" t="s">
        <v>248</v>
      </c>
      <c r="AV361" s="361" t="s">
        <v>249</v>
      </c>
      <c r="AW361" s="303" t="s">
        <v>244</v>
      </c>
      <c r="AX361" s="303" t="s">
        <v>361</v>
      </c>
      <c r="AY361" s="394" t="s">
        <v>250</v>
      </c>
      <c r="AZ361" s="394" t="s">
        <v>251</v>
      </c>
      <c r="BA361" s="394" t="s">
        <v>252</v>
      </c>
      <c r="BB361" s="394" t="s">
        <v>250</v>
      </c>
      <c r="BC361" s="394"/>
      <c r="BD361" s="394"/>
    </row>
    <row r="362" spans="1:56" customFormat="1" ht="48" x14ac:dyDescent="0.25">
      <c r="A362" s="257">
        <v>360</v>
      </c>
      <c r="B362" s="299" t="s">
        <v>90</v>
      </c>
      <c r="C362" s="299" t="s">
        <v>78</v>
      </c>
      <c r="D362" s="299" t="s">
        <v>375</v>
      </c>
      <c r="E362" s="299"/>
      <c r="F362" s="350" t="s">
        <v>383</v>
      </c>
      <c r="G362" s="350" t="s">
        <v>374</v>
      </c>
      <c r="H362" s="45" t="s">
        <v>69</v>
      </c>
      <c r="I362" s="299"/>
      <c r="J362" s="251">
        <v>1967595.59259259</v>
      </c>
      <c r="K362" s="300">
        <v>3.05</v>
      </c>
      <c r="L362" s="311" t="s">
        <v>739</v>
      </c>
      <c r="M362" s="299">
        <v>1</v>
      </c>
      <c r="N362" s="299" t="s">
        <v>686</v>
      </c>
      <c r="O362" s="250">
        <v>45500</v>
      </c>
      <c r="P362" s="316">
        <v>45626</v>
      </c>
      <c r="Q362" s="312">
        <v>15786438</v>
      </c>
      <c r="R362" s="317"/>
      <c r="S362" s="317"/>
      <c r="T362" s="312">
        <v>0</v>
      </c>
      <c r="U362" s="318">
        <v>4</v>
      </c>
      <c r="V362" s="312">
        <v>15786438</v>
      </c>
      <c r="W362" s="356">
        <v>1750000000</v>
      </c>
      <c r="X362" s="353">
        <v>2.5609999999999999</v>
      </c>
      <c r="Y362" s="376"/>
      <c r="Z362" s="376" t="s">
        <v>376</v>
      </c>
      <c r="AA362" s="356">
        <v>981750003</v>
      </c>
      <c r="AB362" s="270" t="s">
        <v>243</v>
      </c>
      <c r="AC362" s="393" t="s">
        <v>373</v>
      </c>
      <c r="AD362" s="393" t="s">
        <v>361</v>
      </c>
      <c r="AE362" s="358" t="s">
        <v>244</v>
      </c>
      <c r="AF362" s="359" t="s">
        <v>755</v>
      </c>
      <c r="AG362" s="270">
        <v>80111603</v>
      </c>
      <c r="AH362" s="310" t="s">
        <v>737</v>
      </c>
      <c r="AI362" s="301" t="s">
        <v>393</v>
      </c>
      <c r="AJ362" s="301" t="s">
        <v>393</v>
      </c>
      <c r="AK362" s="302">
        <v>4</v>
      </c>
      <c r="AL362" s="303" t="s">
        <v>241</v>
      </c>
      <c r="AM362" s="304" t="s">
        <v>242</v>
      </c>
      <c r="AN362" s="313">
        <v>15786438</v>
      </c>
      <c r="AO362" s="313">
        <v>15786438</v>
      </c>
      <c r="AP362" s="303" t="s">
        <v>244</v>
      </c>
      <c r="AQ362" s="303" t="s">
        <v>245</v>
      </c>
      <c r="AR362" s="360" t="s">
        <v>246</v>
      </c>
      <c r="AS362" s="306" t="s">
        <v>247</v>
      </c>
      <c r="AT362" s="307" t="s">
        <v>372</v>
      </c>
      <c r="AU362" s="308" t="s">
        <v>740</v>
      </c>
      <c r="AV362" s="361" t="s">
        <v>249</v>
      </c>
      <c r="AW362" s="303" t="s">
        <v>244</v>
      </c>
      <c r="AX362" s="303" t="s">
        <v>361</v>
      </c>
      <c r="AY362" s="394" t="s">
        <v>250</v>
      </c>
      <c r="AZ362" s="394" t="s">
        <v>251</v>
      </c>
      <c r="BA362" s="394" t="s">
        <v>252</v>
      </c>
      <c r="BB362" s="394" t="s">
        <v>250</v>
      </c>
      <c r="BC362" s="394"/>
      <c r="BD362" s="394"/>
    </row>
    <row r="363" spans="1:56" ht="48" x14ac:dyDescent="0.2">
      <c r="A363" s="257">
        <v>361</v>
      </c>
      <c r="B363" s="299" t="s">
        <v>90</v>
      </c>
      <c r="C363" s="299" t="s">
        <v>78</v>
      </c>
      <c r="D363" s="299" t="s">
        <v>375</v>
      </c>
      <c r="E363" s="299"/>
      <c r="F363" s="350" t="s">
        <v>383</v>
      </c>
      <c r="G363" s="350" t="s">
        <v>374</v>
      </c>
      <c r="H363" s="45" t="s">
        <v>67</v>
      </c>
      <c r="I363" s="299"/>
      <c r="J363" s="309">
        <v>1967604.59259259</v>
      </c>
      <c r="K363" s="300">
        <v>12.05</v>
      </c>
      <c r="L363" s="311">
        <v>2165620</v>
      </c>
      <c r="M363" s="299">
        <v>1</v>
      </c>
      <c r="N363" s="299" t="s">
        <v>686</v>
      </c>
      <c r="O363" s="250">
        <v>45500</v>
      </c>
      <c r="P363" s="316">
        <v>45626</v>
      </c>
      <c r="Q363" s="427">
        <v>8662480</v>
      </c>
      <c r="R363" s="317"/>
      <c r="S363" s="317"/>
      <c r="T363" s="427">
        <v>0</v>
      </c>
      <c r="U363" s="428">
        <v>4</v>
      </c>
      <c r="V363" s="312">
        <v>8662480</v>
      </c>
      <c r="W363" s="429">
        <v>1750000000</v>
      </c>
      <c r="X363" s="353">
        <v>11.561</v>
      </c>
      <c r="Y363" s="376"/>
      <c r="Z363" s="376" t="s">
        <v>376</v>
      </c>
      <c r="AA363" s="429">
        <v>981750012</v>
      </c>
      <c r="AB363" s="270" t="s">
        <v>243</v>
      </c>
      <c r="AC363" s="393" t="s">
        <v>373</v>
      </c>
      <c r="AD363" s="393" t="s">
        <v>361</v>
      </c>
      <c r="AE363" s="358" t="s">
        <v>244</v>
      </c>
      <c r="AF363" s="359" t="str">
        <f t="shared" si="233"/>
        <v>CLE-361</v>
      </c>
      <c r="AG363" s="270">
        <v>80111600</v>
      </c>
      <c r="AH363" s="310" t="s">
        <v>737</v>
      </c>
      <c r="AI363" s="301" t="s">
        <v>393</v>
      </c>
      <c r="AJ363" s="301" t="s">
        <v>393</v>
      </c>
      <c r="AK363" s="302">
        <v>4</v>
      </c>
      <c r="AL363" s="303" t="s">
        <v>241</v>
      </c>
      <c r="AM363" s="304" t="s">
        <v>242</v>
      </c>
      <c r="AN363" s="305">
        <v>8662480</v>
      </c>
      <c r="AO363" s="305">
        <v>8662480</v>
      </c>
      <c r="AP363" s="303" t="s">
        <v>244</v>
      </c>
      <c r="AQ363" s="303" t="s">
        <v>245</v>
      </c>
      <c r="AR363" s="360" t="s">
        <v>246</v>
      </c>
      <c r="AS363" s="306" t="s">
        <v>247</v>
      </c>
      <c r="AT363" s="307" t="s">
        <v>372</v>
      </c>
      <c r="AU363" s="308" t="s">
        <v>741</v>
      </c>
      <c r="AV363" s="361" t="s">
        <v>249</v>
      </c>
      <c r="AW363" s="303" t="s">
        <v>244</v>
      </c>
      <c r="AX363" s="303" t="s">
        <v>361</v>
      </c>
      <c r="AY363" s="394" t="s">
        <v>250</v>
      </c>
      <c r="AZ363" s="394" t="s">
        <v>251</v>
      </c>
      <c r="BA363" s="394" t="s">
        <v>252</v>
      </c>
      <c r="BB363" s="394" t="s">
        <v>250</v>
      </c>
      <c r="BC363" s="394"/>
      <c r="BD363" s="394"/>
    </row>
    <row r="364" spans="1:56" ht="48" x14ac:dyDescent="0.2">
      <c r="A364" s="257">
        <v>362</v>
      </c>
      <c r="B364" s="299" t="s">
        <v>90</v>
      </c>
      <c r="C364" s="299" t="s">
        <v>78</v>
      </c>
      <c r="D364" s="299" t="s">
        <v>375</v>
      </c>
      <c r="E364" s="299"/>
      <c r="F364" s="350" t="s">
        <v>383</v>
      </c>
      <c r="G364" s="350" t="s">
        <v>374</v>
      </c>
      <c r="H364" s="45" t="s">
        <v>67</v>
      </c>
      <c r="I364" s="299"/>
      <c r="J364" s="309">
        <v>1967604.59259259</v>
      </c>
      <c r="K364" s="300">
        <v>12.05</v>
      </c>
      <c r="L364" s="311">
        <v>2165620</v>
      </c>
      <c r="M364" s="299">
        <v>1</v>
      </c>
      <c r="N364" s="299" t="s">
        <v>686</v>
      </c>
      <c r="O364" s="250">
        <v>45500</v>
      </c>
      <c r="P364" s="316">
        <v>45626</v>
      </c>
      <c r="Q364" s="427">
        <v>8662480</v>
      </c>
      <c r="R364" s="317"/>
      <c r="S364" s="317"/>
      <c r="T364" s="427">
        <v>0</v>
      </c>
      <c r="U364" s="428">
        <v>4</v>
      </c>
      <c r="V364" s="312">
        <v>8662480</v>
      </c>
      <c r="W364" s="429">
        <v>1750000000</v>
      </c>
      <c r="X364" s="353">
        <v>11.561</v>
      </c>
      <c r="Y364" s="376"/>
      <c r="Z364" s="376" t="s">
        <v>376</v>
      </c>
      <c r="AA364" s="429">
        <v>981750012</v>
      </c>
      <c r="AB364" s="270" t="s">
        <v>243</v>
      </c>
      <c r="AC364" s="393" t="s">
        <v>373</v>
      </c>
      <c r="AD364" s="393" t="s">
        <v>361</v>
      </c>
      <c r="AE364" s="358" t="s">
        <v>244</v>
      </c>
      <c r="AF364" s="359" t="str">
        <f t="shared" si="233"/>
        <v>CLE-362</v>
      </c>
      <c r="AG364" s="270">
        <v>80111600</v>
      </c>
      <c r="AH364" s="310" t="s">
        <v>737</v>
      </c>
      <c r="AI364" s="301" t="s">
        <v>393</v>
      </c>
      <c r="AJ364" s="301" t="s">
        <v>393</v>
      </c>
      <c r="AK364" s="302">
        <v>4</v>
      </c>
      <c r="AL364" s="303" t="s">
        <v>241</v>
      </c>
      <c r="AM364" s="304" t="s">
        <v>242</v>
      </c>
      <c r="AN364" s="313">
        <v>8662480</v>
      </c>
      <c r="AO364" s="313">
        <v>8662480</v>
      </c>
      <c r="AP364" s="303" t="s">
        <v>244</v>
      </c>
      <c r="AQ364" s="303" t="s">
        <v>245</v>
      </c>
      <c r="AR364" s="360" t="s">
        <v>246</v>
      </c>
      <c r="AS364" s="306" t="s">
        <v>247</v>
      </c>
      <c r="AT364" s="307" t="s">
        <v>372</v>
      </c>
      <c r="AU364" s="308" t="s">
        <v>741</v>
      </c>
      <c r="AV364" s="361" t="s">
        <v>249</v>
      </c>
      <c r="AW364" s="303" t="s">
        <v>244</v>
      </c>
      <c r="AX364" s="303" t="s">
        <v>361</v>
      </c>
      <c r="AY364" s="394" t="s">
        <v>250</v>
      </c>
      <c r="AZ364" s="394" t="s">
        <v>251</v>
      </c>
      <c r="BA364" s="394" t="s">
        <v>252</v>
      </c>
      <c r="BB364" s="394" t="s">
        <v>250</v>
      </c>
      <c r="BC364" s="394"/>
      <c r="BD364" s="394"/>
    </row>
    <row r="365" spans="1:56" ht="48" x14ac:dyDescent="0.2">
      <c r="A365" s="257">
        <v>363</v>
      </c>
      <c r="B365" s="299" t="s">
        <v>90</v>
      </c>
      <c r="C365" s="299" t="s">
        <v>78</v>
      </c>
      <c r="D365" s="299" t="s">
        <v>375</v>
      </c>
      <c r="E365" s="299"/>
      <c r="F365" s="350" t="s">
        <v>383</v>
      </c>
      <c r="G365" s="350" t="s">
        <v>374</v>
      </c>
      <c r="H365" s="45" t="s">
        <v>67</v>
      </c>
      <c r="I365" s="299"/>
      <c r="J365" s="309">
        <v>1967604.59259259</v>
      </c>
      <c r="K365" s="300">
        <v>12.05</v>
      </c>
      <c r="L365" s="311">
        <v>2165620</v>
      </c>
      <c r="M365" s="299">
        <v>1</v>
      </c>
      <c r="N365" s="299" t="s">
        <v>686</v>
      </c>
      <c r="O365" s="250">
        <v>45500</v>
      </c>
      <c r="P365" s="316">
        <v>45626</v>
      </c>
      <c r="Q365" s="427">
        <v>8662480</v>
      </c>
      <c r="R365" s="317"/>
      <c r="S365" s="317"/>
      <c r="T365" s="427">
        <v>0</v>
      </c>
      <c r="U365" s="428">
        <v>4</v>
      </c>
      <c r="V365" s="312">
        <v>8662480</v>
      </c>
      <c r="W365" s="429">
        <v>1750000000</v>
      </c>
      <c r="X365" s="353">
        <v>11.561</v>
      </c>
      <c r="Y365" s="376"/>
      <c r="Z365" s="376" t="s">
        <v>376</v>
      </c>
      <c r="AA365" s="429">
        <v>981750012</v>
      </c>
      <c r="AB365" s="270" t="s">
        <v>243</v>
      </c>
      <c r="AC365" s="393" t="s">
        <v>373</v>
      </c>
      <c r="AD365" s="393" t="s">
        <v>361</v>
      </c>
      <c r="AE365" s="358" t="s">
        <v>244</v>
      </c>
      <c r="AF365" s="359" t="str">
        <f t="shared" si="233"/>
        <v>CLE-363</v>
      </c>
      <c r="AG365" s="270">
        <v>80111600</v>
      </c>
      <c r="AH365" s="310" t="s">
        <v>737</v>
      </c>
      <c r="AI365" s="301" t="s">
        <v>393</v>
      </c>
      <c r="AJ365" s="301" t="s">
        <v>393</v>
      </c>
      <c r="AK365" s="302">
        <v>4</v>
      </c>
      <c r="AL365" s="303" t="s">
        <v>241</v>
      </c>
      <c r="AM365" s="304" t="s">
        <v>242</v>
      </c>
      <c r="AN365" s="313">
        <v>8662480</v>
      </c>
      <c r="AO365" s="313">
        <v>8662480</v>
      </c>
      <c r="AP365" s="303" t="s">
        <v>244</v>
      </c>
      <c r="AQ365" s="303" t="s">
        <v>245</v>
      </c>
      <c r="AR365" s="360" t="s">
        <v>246</v>
      </c>
      <c r="AS365" s="306" t="s">
        <v>247</v>
      </c>
      <c r="AT365" s="307" t="s">
        <v>372</v>
      </c>
      <c r="AU365" s="308" t="s">
        <v>741</v>
      </c>
      <c r="AV365" s="361" t="s">
        <v>249</v>
      </c>
      <c r="AW365" s="303" t="s">
        <v>244</v>
      </c>
      <c r="AX365" s="303" t="s">
        <v>361</v>
      </c>
      <c r="AY365" s="394" t="s">
        <v>250</v>
      </c>
      <c r="AZ365" s="394" t="s">
        <v>251</v>
      </c>
      <c r="BA365" s="394" t="s">
        <v>252</v>
      </c>
      <c r="BB365" s="394" t="s">
        <v>250</v>
      </c>
      <c r="BC365" s="394"/>
      <c r="BD365" s="394"/>
    </row>
    <row r="366" spans="1:56" ht="48" x14ac:dyDescent="0.2">
      <c r="A366" s="257">
        <v>364</v>
      </c>
      <c r="B366" s="299" t="s">
        <v>90</v>
      </c>
      <c r="C366" s="299" t="s">
        <v>78</v>
      </c>
      <c r="D366" s="299" t="s">
        <v>375</v>
      </c>
      <c r="E366" s="299"/>
      <c r="F366" s="350" t="s">
        <v>383</v>
      </c>
      <c r="G366" s="350" t="s">
        <v>374</v>
      </c>
      <c r="H366" s="45" t="s">
        <v>69</v>
      </c>
      <c r="I366" s="299"/>
      <c r="J366" s="309">
        <v>1967607.59259259</v>
      </c>
      <c r="K366" s="300">
        <v>15.05</v>
      </c>
      <c r="L366" s="430">
        <v>2466498</v>
      </c>
      <c r="M366" s="299">
        <v>1</v>
      </c>
      <c r="N366" s="299" t="s">
        <v>686</v>
      </c>
      <c r="O366" s="250">
        <v>45500</v>
      </c>
      <c r="P366" s="316">
        <v>45626</v>
      </c>
      <c r="Q366" s="427">
        <v>9865992</v>
      </c>
      <c r="R366" s="317"/>
      <c r="S366" s="317"/>
      <c r="T366" s="427">
        <v>0</v>
      </c>
      <c r="U366" s="428">
        <v>4</v>
      </c>
      <c r="V366" s="427">
        <v>9865992</v>
      </c>
      <c r="W366" s="429">
        <v>1750000000</v>
      </c>
      <c r="X366" s="353">
        <v>14.561</v>
      </c>
      <c r="Y366" s="376"/>
      <c r="Z366" s="376" t="s">
        <v>376</v>
      </c>
      <c r="AA366" s="429">
        <v>981750015</v>
      </c>
      <c r="AB366" s="270" t="s">
        <v>243</v>
      </c>
      <c r="AC366" s="393" t="s">
        <v>373</v>
      </c>
      <c r="AD366" s="393" t="s">
        <v>361</v>
      </c>
      <c r="AE366" s="358" t="s">
        <v>244</v>
      </c>
      <c r="AF366" s="359" t="str">
        <f t="shared" si="233"/>
        <v>CLE-364</v>
      </c>
      <c r="AG366" s="270">
        <v>80111600</v>
      </c>
      <c r="AH366" s="310" t="s">
        <v>737</v>
      </c>
      <c r="AI366" s="301" t="s">
        <v>393</v>
      </c>
      <c r="AJ366" s="301" t="s">
        <v>393</v>
      </c>
      <c r="AK366" s="302">
        <v>4</v>
      </c>
      <c r="AL366" s="303" t="s">
        <v>241</v>
      </c>
      <c r="AM366" s="304" t="s">
        <v>242</v>
      </c>
      <c r="AN366" s="305">
        <v>9865992</v>
      </c>
      <c r="AO366" s="305">
        <v>9865992</v>
      </c>
      <c r="AP366" s="303" t="s">
        <v>244</v>
      </c>
      <c r="AQ366" s="303" t="s">
        <v>245</v>
      </c>
      <c r="AR366" s="360" t="s">
        <v>246</v>
      </c>
      <c r="AS366" s="306" t="s">
        <v>247</v>
      </c>
      <c r="AT366" s="307" t="s">
        <v>372</v>
      </c>
      <c r="AU366" s="308" t="s">
        <v>742</v>
      </c>
      <c r="AV366" s="361" t="s">
        <v>249</v>
      </c>
      <c r="AW366" s="303" t="s">
        <v>244</v>
      </c>
      <c r="AX366" s="303" t="s">
        <v>361</v>
      </c>
      <c r="AY366" s="394" t="s">
        <v>250</v>
      </c>
      <c r="AZ366" s="394" t="s">
        <v>251</v>
      </c>
      <c r="BA366" s="394" t="s">
        <v>252</v>
      </c>
      <c r="BB366" s="394" t="s">
        <v>250</v>
      </c>
      <c r="BC366" s="394"/>
      <c r="BD366" s="394"/>
    </row>
    <row r="367" spans="1:56" ht="48" x14ac:dyDescent="0.2">
      <c r="A367" s="257">
        <v>365</v>
      </c>
      <c r="B367" s="299" t="s">
        <v>90</v>
      </c>
      <c r="C367" s="299" t="s">
        <v>78</v>
      </c>
      <c r="D367" s="299" t="s">
        <v>375</v>
      </c>
      <c r="E367" s="299"/>
      <c r="F367" s="350" t="s">
        <v>383</v>
      </c>
      <c r="G367" s="350" t="s">
        <v>374</v>
      </c>
      <c r="H367" s="45" t="s">
        <v>69</v>
      </c>
      <c r="I367" s="299"/>
      <c r="J367" s="309">
        <v>1967607.59259259</v>
      </c>
      <c r="K367" s="300">
        <v>15.05</v>
      </c>
      <c r="L367" s="430">
        <v>2466498</v>
      </c>
      <c r="M367" s="299">
        <v>1</v>
      </c>
      <c r="N367" s="299" t="s">
        <v>686</v>
      </c>
      <c r="O367" s="250">
        <v>45500</v>
      </c>
      <c r="P367" s="316">
        <v>45626</v>
      </c>
      <c r="Q367" s="427">
        <v>9865992</v>
      </c>
      <c r="R367" s="317"/>
      <c r="S367" s="317"/>
      <c r="T367" s="427">
        <v>0</v>
      </c>
      <c r="U367" s="428">
        <v>4</v>
      </c>
      <c r="V367" s="427">
        <v>9865992</v>
      </c>
      <c r="W367" s="429">
        <v>1750000000</v>
      </c>
      <c r="X367" s="353">
        <v>14.561</v>
      </c>
      <c r="Y367" s="376"/>
      <c r="Z367" s="376" t="s">
        <v>376</v>
      </c>
      <c r="AA367" s="429">
        <v>981750015</v>
      </c>
      <c r="AB367" s="270" t="s">
        <v>243</v>
      </c>
      <c r="AC367" s="393" t="s">
        <v>373</v>
      </c>
      <c r="AD367" s="393" t="s">
        <v>361</v>
      </c>
      <c r="AE367" s="358" t="s">
        <v>244</v>
      </c>
      <c r="AF367" s="359" t="str">
        <f t="shared" si="233"/>
        <v>CLE-365</v>
      </c>
      <c r="AG367" s="270">
        <v>80111600</v>
      </c>
      <c r="AH367" s="310" t="s">
        <v>737</v>
      </c>
      <c r="AI367" s="301" t="s">
        <v>393</v>
      </c>
      <c r="AJ367" s="301" t="s">
        <v>393</v>
      </c>
      <c r="AK367" s="302">
        <v>4</v>
      </c>
      <c r="AL367" s="303" t="s">
        <v>241</v>
      </c>
      <c r="AM367" s="304" t="s">
        <v>242</v>
      </c>
      <c r="AN367" s="305">
        <v>9865992</v>
      </c>
      <c r="AO367" s="305">
        <v>9865992</v>
      </c>
      <c r="AP367" s="303" t="s">
        <v>244</v>
      </c>
      <c r="AQ367" s="303" t="s">
        <v>245</v>
      </c>
      <c r="AR367" s="360" t="s">
        <v>246</v>
      </c>
      <c r="AS367" s="306" t="s">
        <v>247</v>
      </c>
      <c r="AT367" s="307" t="s">
        <v>372</v>
      </c>
      <c r="AU367" s="308" t="s">
        <v>742</v>
      </c>
      <c r="AV367" s="361" t="s">
        <v>249</v>
      </c>
      <c r="AW367" s="303" t="s">
        <v>244</v>
      </c>
      <c r="AX367" s="303" t="s">
        <v>361</v>
      </c>
      <c r="AY367" s="394" t="s">
        <v>250</v>
      </c>
      <c r="AZ367" s="394" t="s">
        <v>251</v>
      </c>
      <c r="BA367" s="394" t="s">
        <v>252</v>
      </c>
      <c r="BB367" s="394" t="s">
        <v>250</v>
      </c>
      <c r="BC367" s="394"/>
      <c r="BD367" s="394"/>
    </row>
    <row r="368" spans="1:56" ht="48" x14ac:dyDescent="0.2">
      <c r="A368" s="257">
        <v>366</v>
      </c>
      <c r="B368" s="299" t="s">
        <v>90</v>
      </c>
      <c r="C368" s="299" t="s">
        <v>78</v>
      </c>
      <c r="D368" s="299" t="s">
        <v>375</v>
      </c>
      <c r="E368" s="299"/>
      <c r="F368" s="350" t="s">
        <v>383</v>
      </c>
      <c r="G368" s="350" t="s">
        <v>374</v>
      </c>
      <c r="H368" s="45" t="s">
        <v>69</v>
      </c>
      <c r="I368" s="299"/>
      <c r="J368" s="309">
        <v>1967607.59259259</v>
      </c>
      <c r="K368" s="300">
        <v>15.05</v>
      </c>
      <c r="L368" s="430">
        <v>2466498</v>
      </c>
      <c r="M368" s="299">
        <v>1</v>
      </c>
      <c r="N368" s="299" t="s">
        <v>686</v>
      </c>
      <c r="O368" s="250">
        <v>45500</v>
      </c>
      <c r="P368" s="316">
        <v>45626</v>
      </c>
      <c r="Q368" s="427">
        <v>9865992</v>
      </c>
      <c r="R368" s="317"/>
      <c r="S368" s="317"/>
      <c r="T368" s="427">
        <v>0</v>
      </c>
      <c r="U368" s="428">
        <v>4</v>
      </c>
      <c r="V368" s="427">
        <v>9865992</v>
      </c>
      <c r="W368" s="429">
        <v>1750000000</v>
      </c>
      <c r="X368" s="353">
        <v>14.561</v>
      </c>
      <c r="Y368" s="376"/>
      <c r="Z368" s="376" t="s">
        <v>376</v>
      </c>
      <c r="AA368" s="429">
        <v>981750015</v>
      </c>
      <c r="AB368" s="270" t="s">
        <v>243</v>
      </c>
      <c r="AC368" s="393" t="s">
        <v>373</v>
      </c>
      <c r="AD368" s="393" t="s">
        <v>361</v>
      </c>
      <c r="AE368" s="358" t="s">
        <v>244</v>
      </c>
      <c r="AF368" s="359" t="str">
        <f t="shared" si="233"/>
        <v>CLE-366</v>
      </c>
      <c r="AG368" s="270">
        <v>80111600</v>
      </c>
      <c r="AH368" s="310" t="s">
        <v>737</v>
      </c>
      <c r="AI368" s="301" t="s">
        <v>393</v>
      </c>
      <c r="AJ368" s="301" t="s">
        <v>393</v>
      </c>
      <c r="AK368" s="302">
        <v>4</v>
      </c>
      <c r="AL368" s="303" t="s">
        <v>241</v>
      </c>
      <c r="AM368" s="304" t="s">
        <v>242</v>
      </c>
      <c r="AN368" s="305">
        <v>9865992</v>
      </c>
      <c r="AO368" s="305">
        <v>9865992</v>
      </c>
      <c r="AP368" s="303" t="s">
        <v>244</v>
      </c>
      <c r="AQ368" s="303" t="s">
        <v>245</v>
      </c>
      <c r="AR368" s="360" t="s">
        <v>246</v>
      </c>
      <c r="AS368" s="306" t="s">
        <v>247</v>
      </c>
      <c r="AT368" s="307" t="s">
        <v>372</v>
      </c>
      <c r="AU368" s="308" t="s">
        <v>742</v>
      </c>
      <c r="AV368" s="361" t="s">
        <v>249</v>
      </c>
      <c r="AW368" s="303" t="s">
        <v>244</v>
      </c>
      <c r="AX368" s="303" t="s">
        <v>361</v>
      </c>
      <c r="AY368" s="394" t="s">
        <v>250</v>
      </c>
      <c r="AZ368" s="394" t="s">
        <v>251</v>
      </c>
      <c r="BA368" s="394" t="s">
        <v>252</v>
      </c>
      <c r="BB368" s="394" t="s">
        <v>250</v>
      </c>
      <c r="BC368" s="394"/>
      <c r="BD368" s="394"/>
    </row>
    <row r="369" spans="1:56" ht="48" x14ac:dyDescent="0.2">
      <c r="A369" s="257">
        <v>367</v>
      </c>
      <c r="B369" s="299" t="s">
        <v>90</v>
      </c>
      <c r="C369" s="299" t="s">
        <v>78</v>
      </c>
      <c r="D369" s="299" t="s">
        <v>375</v>
      </c>
      <c r="E369" s="299"/>
      <c r="F369" s="350" t="s">
        <v>383</v>
      </c>
      <c r="G369" s="350" t="s">
        <v>374</v>
      </c>
      <c r="H369" s="45" t="s">
        <v>69</v>
      </c>
      <c r="I369" s="299"/>
      <c r="J369" s="309">
        <v>1967607.59259259</v>
      </c>
      <c r="K369" s="300">
        <v>15.05</v>
      </c>
      <c r="L369" s="430">
        <v>2466498</v>
      </c>
      <c r="M369" s="299">
        <v>1</v>
      </c>
      <c r="N369" s="299" t="s">
        <v>686</v>
      </c>
      <c r="O369" s="250">
        <v>45500</v>
      </c>
      <c r="P369" s="316">
        <v>45626</v>
      </c>
      <c r="Q369" s="427">
        <v>9865992</v>
      </c>
      <c r="R369" s="317"/>
      <c r="S369" s="317"/>
      <c r="T369" s="427">
        <v>0</v>
      </c>
      <c r="U369" s="428">
        <v>4</v>
      </c>
      <c r="V369" s="427">
        <v>9865992</v>
      </c>
      <c r="W369" s="429">
        <v>1750000000</v>
      </c>
      <c r="X369" s="353">
        <v>14.561</v>
      </c>
      <c r="Y369" s="376"/>
      <c r="Z369" s="376" t="s">
        <v>376</v>
      </c>
      <c r="AA369" s="429">
        <v>981750015</v>
      </c>
      <c r="AB369" s="270" t="s">
        <v>243</v>
      </c>
      <c r="AC369" s="393" t="s">
        <v>373</v>
      </c>
      <c r="AD369" s="393" t="s">
        <v>361</v>
      </c>
      <c r="AE369" s="358" t="s">
        <v>244</v>
      </c>
      <c r="AF369" s="359" t="str">
        <f t="shared" si="233"/>
        <v>CLE-367</v>
      </c>
      <c r="AG369" s="270">
        <v>80111600</v>
      </c>
      <c r="AH369" s="310" t="s">
        <v>737</v>
      </c>
      <c r="AI369" s="301" t="s">
        <v>393</v>
      </c>
      <c r="AJ369" s="301" t="s">
        <v>393</v>
      </c>
      <c r="AK369" s="302">
        <v>4</v>
      </c>
      <c r="AL369" s="303" t="s">
        <v>241</v>
      </c>
      <c r="AM369" s="304" t="s">
        <v>242</v>
      </c>
      <c r="AN369" s="305">
        <v>9865992</v>
      </c>
      <c r="AO369" s="305">
        <v>9865992</v>
      </c>
      <c r="AP369" s="303" t="s">
        <v>244</v>
      </c>
      <c r="AQ369" s="303" t="s">
        <v>245</v>
      </c>
      <c r="AR369" s="360" t="s">
        <v>246</v>
      </c>
      <c r="AS369" s="306" t="s">
        <v>247</v>
      </c>
      <c r="AT369" s="307" t="s">
        <v>372</v>
      </c>
      <c r="AU369" s="308" t="s">
        <v>742</v>
      </c>
      <c r="AV369" s="361" t="s">
        <v>249</v>
      </c>
      <c r="AW369" s="303" t="s">
        <v>244</v>
      </c>
      <c r="AX369" s="303" t="s">
        <v>361</v>
      </c>
      <c r="AY369" s="394" t="s">
        <v>250</v>
      </c>
      <c r="AZ369" s="394" t="s">
        <v>251</v>
      </c>
      <c r="BA369" s="394" t="s">
        <v>252</v>
      </c>
      <c r="BB369" s="394" t="s">
        <v>250</v>
      </c>
      <c r="BC369" s="394"/>
      <c r="BD369" s="394"/>
    </row>
    <row r="370" spans="1:56" ht="48" x14ac:dyDescent="0.2">
      <c r="A370" s="257">
        <v>368</v>
      </c>
      <c r="B370" s="299" t="s">
        <v>90</v>
      </c>
      <c r="C370" s="299" t="s">
        <v>78</v>
      </c>
      <c r="D370" s="299" t="s">
        <v>375</v>
      </c>
      <c r="E370" s="299"/>
      <c r="F370" s="350" t="s">
        <v>383</v>
      </c>
      <c r="G370" s="350" t="s">
        <v>374</v>
      </c>
      <c r="H370" s="45" t="s">
        <v>69</v>
      </c>
      <c r="I370" s="299"/>
      <c r="J370" s="309">
        <v>1967607.59259259</v>
      </c>
      <c r="K370" s="300">
        <v>15.05</v>
      </c>
      <c r="L370" s="430">
        <v>2466498</v>
      </c>
      <c r="M370" s="299">
        <v>1</v>
      </c>
      <c r="N370" s="299" t="s">
        <v>686</v>
      </c>
      <c r="O370" s="250">
        <v>45500</v>
      </c>
      <c r="P370" s="316">
        <v>45626</v>
      </c>
      <c r="Q370" s="427">
        <v>9865992</v>
      </c>
      <c r="R370" s="317"/>
      <c r="S370" s="317"/>
      <c r="T370" s="427">
        <v>0</v>
      </c>
      <c r="U370" s="428">
        <v>4</v>
      </c>
      <c r="V370" s="427">
        <v>9865992</v>
      </c>
      <c r="W370" s="429">
        <v>1750000000</v>
      </c>
      <c r="X370" s="353">
        <v>14.561</v>
      </c>
      <c r="Y370" s="376"/>
      <c r="Z370" s="376" t="s">
        <v>376</v>
      </c>
      <c r="AA370" s="429">
        <v>981750015</v>
      </c>
      <c r="AB370" s="270" t="s">
        <v>243</v>
      </c>
      <c r="AC370" s="393" t="s">
        <v>373</v>
      </c>
      <c r="AD370" s="393" t="s">
        <v>361</v>
      </c>
      <c r="AE370" s="358" t="s">
        <v>244</v>
      </c>
      <c r="AF370" s="359" t="str">
        <f t="shared" si="233"/>
        <v>CLE-368</v>
      </c>
      <c r="AG370" s="270">
        <v>80111600</v>
      </c>
      <c r="AH370" s="310" t="s">
        <v>737</v>
      </c>
      <c r="AI370" s="301" t="s">
        <v>393</v>
      </c>
      <c r="AJ370" s="301" t="s">
        <v>393</v>
      </c>
      <c r="AK370" s="302">
        <v>4</v>
      </c>
      <c r="AL370" s="303" t="s">
        <v>241</v>
      </c>
      <c r="AM370" s="304" t="s">
        <v>242</v>
      </c>
      <c r="AN370" s="305">
        <v>9865992</v>
      </c>
      <c r="AO370" s="305">
        <v>9865992</v>
      </c>
      <c r="AP370" s="303" t="s">
        <v>244</v>
      </c>
      <c r="AQ370" s="303" t="s">
        <v>245</v>
      </c>
      <c r="AR370" s="360" t="s">
        <v>246</v>
      </c>
      <c r="AS370" s="306" t="s">
        <v>247</v>
      </c>
      <c r="AT370" s="307" t="s">
        <v>372</v>
      </c>
      <c r="AU370" s="308" t="s">
        <v>742</v>
      </c>
      <c r="AV370" s="361" t="s">
        <v>249</v>
      </c>
      <c r="AW370" s="303" t="s">
        <v>244</v>
      </c>
      <c r="AX370" s="303" t="s">
        <v>361</v>
      </c>
      <c r="AY370" s="394" t="s">
        <v>250</v>
      </c>
      <c r="AZ370" s="394" t="s">
        <v>251</v>
      </c>
      <c r="BA370" s="394" t="s">
        <v>252</v>
      </c>
      <c r="BB370" s="394" t="s">
        <v>250</v>
      </c>
      <c r="BC370" s="394"/>
      <c r="BD370" s="394"/>
    </row>
    <row r="371" spans="1:56" ht="48" x14ac:dyDescent="0.2">
      <c r="A371" s="257">
        <v>369</v>
      </c>
      <c r="B371" s="299" t="s">
        <v>90</v>
      </c>
      <c r="C371" s="299" t="s">
        <v>78</v>
      </c>
      <c r="D371" s="299" t="s">
        <v>375</v>
      </c>
      <c r="E371" s="299"/>
      <c r="F371" s="350" t="s">
        <v>383</v>
      </c>
      <c r="G371" s="350" t="s">
        <v>374</v>
      </c>
      <c r="H371" s="45" t="s">
        <v>69</v>
      </c>
      <c r="I371" s="299"/>
      <c r="J371" s="309">
        <v>1967607.59259259</v>
      </c>
      <c r="K371" s="300">
        <v>15.05</v>
      </c>
      <c r="L371" s="430">
        <v>2466498</v>
      </c>
      <c r="M371" s="299">
        <v>1</v>
      </c>
      <c r="N371" s="299" t="s">
        <v>686</v>
      </c>
      <c r="O371" s="250">
        <v>45500</v>
      </c>
      <c r="P371" s="316">
        <v>45626</v>
      </c>
      <c r="Q371" s="427">
        <v>9865992</v>
      </c>
      <c r="R371" s="317"/>
      <c r="S371" s="317"/>
      <c r="T371" s="427">
        <v>0</v>
      </c>
      <c r="U371" s="428">
        <v>4</v>
      </c>
      <c r="V371" s="427">
        <v>9865992</v>
      </c>
      <c r="W371" s="429">
        <v>1750000000</v>
      </c>
      <c r="X371" s="353">
        <v>14.561</v>
      </c>
      <c r="Y371" s="376"/>
      <c r="Z371" s="376" t="s">
        <v>376</v>
      </c>
      <c r="AA371" s="429">
        <v>981750015</v>
      </c>
      <c r="AB371" s="270" t="s">
        <v>243</v>
      </c>
      <c r="AC371" s="393" t="s">
        <v>373</v>
      </c>
      <c r="AD371" s="393" t="s">
        <v>361</v>
      </c>
      <c r="AE371" s="358" t="s">
        <v>244</v>
      </c>
      <c r="AF371" s="359" t="str">
        <f t="shared" si="233"/>
        <v>CLE-369</v>
      </c>
      <c r="AG371" s="270">
        <v>80111600</v>
      </c>
      <c r="AH371" s="310" t="s">
        <v>737</v>
      </c>
      <c r="AI371" s="301" t="s">
        <v>393</v>
      </c>
      <c r="AJ371" s="301" t="s">
        <v>393</v>
      </c>
      <c r="AK371" s="302">
        <v>4</v>
      </c>
      <c r="AL371" s="303" t="s">
        <v>241</v>
      </c>
      <c r="AM371" s="304" t="s">
        <v>242</v>
      </c>
      <c r="AN371" s="305">
        <v>9865992</v>
      </c>
      <c r="AO371" s="305">
        <v>9865992</v>
      </c>
      <c r="AP371" s="303" t="s">
        <v>244</v>
      </c>
      <c r="AQ371" s="303" t="s">
        <v>245</v>
      </c>
      <c r="AR371" s="360" t="s">
        <v>246</v>
      </c>
      <c r="AS371" s="306" t="s">
        <v>247</v>
      </c>
      <c r="AT371" s="307" t="s">
        <v>372</v>
      </c>
      <c r="AU371" s="308" t="s">
        <v>742</v>
      </c>
      <c r="AV371" s="361" t="s">
        <v>249</v>
      </c>
      <c r="AW371" s="303" t="s">
        <v>244</v>
      </c>
      <c r="AX371" s="303" t="s">
        <v>361</v>
      </c>
      <c r="AY371" s="394" t="s">
        <v>250</v>
      </c>
      <c r="AZ371" s="394" t="s">
        <v>251</v>
      </c>
      <c r="BA371" s="394" t="s">
        <v>252</v>
      </c>
      <c r="BB371" s="394" t="s">
        <v>250</v>
      </c>
      <c r="BC371" s="394"/>
      <c r="BD371" s="394"/>
    </row>
    <row r="372" spans="1:56" ht="48" x14ac:dyDescent="0.2">
      <c r="A372" s="257">
        <v>370</v>
      </c>
      <c r="B372" s="299" t="s">
        <v>90</v>
      </c>
      <c r="C372" s="299" t="s">
        <v>78</v>
      </c>
      <c r="D372" s="299" t="s">
        <v>375</v>
      </c>
      <c r="E372" s="299"/>
      <c r="F372" s="350" t="s">
        <v>383</v>
      </c>
      <c r="G372" s="350" t="s">
        <v>374</v>
      </c>
      <c r="H372" s="45" t="s">
        <v>69</v>
      </c>
      <c r="I372" s="299"/>
      <c r="J372" s="309">
        <v>1967607.59259259</v>
      </c>
      <c r="K372" s="300">
        <v>15.05</v>
      </c>
      <c r="L372" s="430">
        <v>2466498</v>
      </c>
      <c r="M372" s="299">
        <v>1</v>
      </c>
      <c r="N372" s="299" t="s">
        <v>686</v>
      </c>
      <c r="O372" s="250">
        <v>45500</v>
      </c>
      <c r="P372" s="316">
        <v>45626</v>
      </c>
      <c r="Q372" s="427">
        <v>9865992</v>
      </c>
      <c r="R372" s="317"/>
      <c r="S372" s="317"/>
      <c r="T372" s="427">
        <v>0</v>
      </c>
      <c r="U372" s="428">
        <v>4</v>
      </c>
      <c r="V372" s="427">
        <v>9865992</v>
      </c>
      <c r="W372" s="429">
        <v>1750000000</v>
      </c>
      <c r="X372" s="353">
        <v>14.561</v>
      </c>
      <c r="Y372" s="376"/>
      <c r="Z372" s="376" t="s">
        <v>376</v>
      </c>
      <c r="AA372" s="429">
        <v>981750015</v>
      </c>
      <c r="AB372" s="270" t="s">
        <v>243</v>
      </c>
      <c r="AC372" s="393" t="s">
        <v>373</v>
      </c>
      <c r="AD372" s="393" t="s">
        <v>361</v>
      </c>
      <c r="AE372" s="358" t="s">
        <v>244</v>
      </c>
      <c r="AF372" s="359" t="str">
        <f t="shared" si="233"/>
        <v>CLE-370</v>
      </c>
      <c r="AG372" s="270">
        <v>80111600</v>
      </c>
      <c r="AH372" s="310" t="s">
        <v>737</v>
      </c>
      <c r="AI372" s="301" t="s">
        <v>393</v>
      </c>
      <c r="AJ372" s="301" t="s">
        <v>393</v>
      </c>
      <c r="AK372" s="302">
        <v>4</v>
      </c>
      <c r="AL372" s="303" t="s">
        <v>241</v>
      </c>
      <c r="AM372" s="304" t="s">
        <v>242</v>
      </c>
      <c r="AN372" s="305">
        <v>9865992</v>
      </c>
      <c r="AO372" s="305">
        <v>9865992</v>
      </c>
      <c r="AP372" s="303" t="s">
        <v>244</v>
      </c>
      <c r="AQ372" s="303" t="s">
        <v>245</v>
      </c>
      <c r="AR372" s="360" t="s">
        <v>246</v>
      </c>
      <c r="AS372" s="306" t="s">
        <v>247</v>
      </c>
      <c r="AT372" s="307" t="s">
        <v>372</v>
      </c>
      <c r="AU372" s="308" t="s">
        <v>742</v>
      </c>
      <c r="AV372" s="361" t="s">
        <v>249</v>
      </c>
      <c r="AW372" s="303" t="s">
        <v>244</v>
      </c>
      <c r="AX372" s="303" t="s">
        <v>361</v>
      </c>
      <c r="AY372" s="394" t="s">
        <v>250</v>
      </c>
      <c r="AZ372" s="394" t="s">
        <v>251</v>
      </c>
      <c r="BA372" s="394" t="s">
        <v>252</v>
      </c>
      <c r="BB372" s="394" t="s">
        <v>250</v>
      </c>
      <c r="BC372" s="394"/>
      <c r="BD372" s="394"/>
    </row>
    <row r="373" spans="1:56" ht="48" x14ac:dyDescent="0.2">
      <c r="A373" s="257">
        <v>371</v>
      </c>
      <c r="B373" s="299" t="s">
        <v>90</v>
      </c>
      <c r="C373" s="299" t="s">
        <v>78</v>
      </c>
      <c r="D373" s="299" t="s">
        <v>375</v>
      </c>
      <c r="E373" s="299"/>
      <c r="F373" s="350" t="s">
        <v>383</v>
      </c>
      <c r="G373" s="350" t="s">
        <v>374</v>
      </c>
      <c r="H373" s="45" t="s">
        <v>69</v>
      </c>
      <c r="I373" s="299"/>
      <c r="J373" s="309">
        <v>1967607.59259259</v>
      </c>
      <c r="K373" s="300">
        <v>15.05</v>
      </c>
      <c r="L373" s="430">
        <v>2466498</v>
      </c>
      <c r="M373" s="299">
        <v>1</v>
      </c>
      <c r="N373" s="299" t="s">
        <v>686</v>
      </c>
      <c r="O373" s="250">
        <v>45500</v>
      </c>
      <c r="P373" s="316">
        <v>45626</v>
      </c>
      <c r="Q373" s="427">
        <v>9865992</v>
      </c>
      <c r="R373" s="317"/>
      <c r="S373" s="317"/>
      <c r="T373" s="427">
        <v>0</v>
      </c>
      <c r="U373" s="428">
        <v>4</v>
      </c>
      <c r="V373" s="427">
        <v>9865992</v>
      </c>
      <c r="W373" s="429">
        <v>1750000000</v>
      </c>
      <c r="X373" s="353">
        <v>14.561</v>
      </c>
      <c r="Y373" s="376"/>
      <c r="Z373" s="376" t="s">
        <v>376</v>
      </c>
      <c r="AA373" s="429">
        <v>981750015</v>
      </c>
      <c r="AB373" s="270" t="s">
        <v>243</v>
      </c>
      <c r="AC373" s="393" t="s">
        <v>373</v>
      </c>
      <c r="AD373" s="393" t="s">
        <v>361</v>
      </c>
      <c r="AE373" s="358" t="s">
        <v>244</v>
      </c>
      <c r="AF373" s="359" t="str">
        <f t="shared" si="233"/>
        <v>CLE-371</v>
      </c>
      <c r="AG373" s="270">
        <v>80111600</v>
      </c>
      <c r="AH373" s="310" t="s">
        <v>737</v>
      </c>
      <c r="AI373" s="301" t="s">
        <v>393</v>
      </c>
      <c r="AJ373" s="301" t="s">
        <v>393</v>
      </c>
      <c r="AK373" s="302">
        <v>4</v>
      </c>
      <c r="AL373" s="303" t="s">
        <v>241</v>
      </c>
      <c r="AM373" s="304" t="s">
        <v>242</v>
      </c>
      <c r="AN373" s="305">
        <v>9865992</v>
      </c>
      <c r="AO373" s="305">
        <v>9865992</v>
      </c>
      <c r="AP373" s="303" t="s">
        <v>244</v>
      </c>
      <c r="AQ373" s="303" t="s">
        <v>245</v>
      </c>
      <c r="AR373" s="360" t="s">
        <v>246</v>
      </c>
      <c r="AS373" s="306" t="s">
        <v>247</v>
      </c>
      <c r="AT373" s="307" t="s">
        <v>372</v>
      </c>
      <c r="AU373" s="308" t="s">
        <v>742</v>
      </c>
      <c r="AV373" s="361" t="s">
        <v>249</v>
      </c>
      <c r="AW373" s="303" t="s">
        <v>244</v>
      </c>
      <c r="AX373" s="303" t="s">
        <v>361</v>
      </c>
      <c r="AY373" s="394" t="s">
        <v>250</v>
      </c>
      <c r="AZ373" s="394" t="s">
        <v>251</v>
      </c>
      <c r="BA373" s="394" t="s">
        <v>252</v>
      </c>
      <c r="BB373" s="394" t="s">
        <v>250</v>
      </c>
      <c r="BC373" s="394"/>
      <c r="BD373" s="394"/>
    </row>
    <row r="374" spans="1:56" ht="48" x14ac:dyDescent="0.2">
      <c r="A374" s="257">
        <v>372</v>
      </c>
      <c r="B374" s="299" t="s">
        <v>90</v>
      </c>
      <c r="C374" s="299" t="s">
        <v>78</v>
      </c>
      <c r="D374" s="299" t="s">
        <v>375</v>
      </c>
      <c r="E374" s="299"/>
      <c r="F374" s="350" t="s">
        <v>383</v>
      </c>
      <c r="G374" s="350" t="s">
        <v>374</v>
      </c>
      <c r="H374" s="45" t="s">
        <v>69</v>
      </c>
      <c r="I374" s="299"/>
      <c r="J374" s="309">
        <v>1967607.59259259</v>
      </c>
      <c r="K374" s="300">
        <v>15.05</v>
      </c>
      <c r="L374" s="430">
        <v>2466498</v>
      </c>
      <c r="M374" s="299">
        <v>1</v>
      </c>
      <c r="N374" s="299" t="s">
        <v>686</v>
      </c>
      <c r="O374" s="250">
        <v>45500</v>
      </c>
      <c r="P374" s="316">
        <v>45626</v>
      </c>
      <c r="Q374" s="427">
        <v>9865992</v>
      </c>
      <c r="R374" s="317"/>
      <c r="S374" s="317"/>
      <c r="T374" s="427">
        <v>0</v>
      </c>
      <c r="U374" s="428">
        <v>4</v>
      </c>
      <c r="V374" s="427">
        <v>9865992</v>
      </c>
      <c r="W374" s="429">
        <v>1750000000</v>
      </c>
      <c r="X374" s="353">
        <v>14.561</v>
      </c>
      <c r="Y374" s="376"/>
      <c r="Z374" s="376" t="s">
        <v>376</v>
      </c>
      <c r="AA374" s="429">
        <v>981750015</v>
      </c>
      <c r="AB374" s="270" t="s">
        <v>243</v>
      </c>
      <c r="AC374" s="393" t="s">
        <v>373</v>
      </c>
      <c r="AD374" s="393" t="s">
        <v>361</v>
      </c>
      <c r="AE374" s="358" t="s">
        <v>244</v>
      </c>
      <c r="AF374" s="359" t="str">
        <f t="shared" si="233"/>
        <v>CLE-372</v>
      </c>
      <c r="AG374" s="270">
        <v>80111600</v>
      </c>
      <c r="AH374" s="310" t="s">
        <v>737</v>
      </c>
      <c r="AI374" s="301" t="s">
        <v>393</v>
      </c>
      <c r="AJ374" s="301" t="s">
        <v>393</v>
      </c>
      <c r="AK374" s="302">
        <v>4</v>
      </c>
      <c r="AL374" s="303" t="s">
        <v>241</v>
      </c>
      <c r="AM374" s="304" t="s">
        <v>242</v>
      </c>
      <c r="AN374" s="305">
        <v>9865992</v>
      </c>
      <c r="AO374" s="305">
        <v>9865992</v>
      </c>
      <c r="AP374" s="303" t="s">
        <v>244</v>
      </c>
      <c r="AQ374" s="303" t="s">
        <v>245</v>
      </c>
      <c r="AR374" s="360" t="s">
        <v>246</v>
      </c>
      <c r="AS374" s="306" t="s">
        <v>247</v>
      </c>
      <c r="AT374" s="307" t="s">
        <v>372</v>
      </c>
      <c r="AU374" s="308" t="s">
        <v>742</v>
      </c>
      <c r="AV374" s="361" t="s">
        <v>249</v>
      </c>
      <c r="AW374" s="303" t="s">
        <v>244</v>
      </c>
      <c r="AX374" s="303" t="s">
        <v>361</v>
      </c>
      <c r="AY374" s="394" t="s">
        <v>250</v>
      </c>
      <c r="AZ374" s="394" t="s">
        <v>251</v>
      </c>
      <c r="BA374" s="394" t="s">
        <v>252</v>
      </c>
      <c r="BB374" s="394" t="s">
        <v>250</v>
      </c>
      <c r="BC374" s="394"/>
      <c r="BD374" s="394"/>
    </row>
    <row r="375" spans="1:56" customFormat="1" ht="48" x14ac:dyDescent="0.25">
      <c r="A375" s="257">
        <v>373</v>
      </c>
      <c r="B375" s="299" t="s">
        <v>90</v>
      </c>
      <c r="C375" s="299" t="s">
        <v>78</v>
      </c>
      <c r="D375" s="299" t="s">
        <v>375</v>
      </c>
      <c r="E375" s="299"/>
      <c r="F375" s="350" t="s">
        <v>383</v>
      </c>
      <c r="G375" s="350" t="s">
        <v>374</v>
      </c>
      <c r="H375" s="45" t="s">
        <v>69</v>
      </c>
      <c r="I375" s="299"/>
      <c r="J375" s="251">
        <v>1967607.59259259</v>
      </c>
      <c r="K375" s="300">
        <v>15.05</v>
      </c>
      <c r="L375" s="311" t="s">
        <v>739</v>
      </c>
      <c r="M375" s="299">
        <v>1</v>
      </c>
      <c r="N375" s="299" t="s">
        <v>686</v>
      </c>
      <c r="O375" s="250">
        <v>45500</v>
      </c>
      <c r="P375" s="316">
        <v>45626</v>
      </c>
      <c r="Q375" s="312">
        <v>18917192</v>
      </c>
      <c r="R375" s="317"/>
      <c r="S375" s="317"/>
      <c r="T375" s="312">
        <v>0</v>
      </c>
      <c r="U375" s="318">
        <v>4</v>
      </c>
      <c r="V375" s="312">
        <v>18917192</v>
      </c>
      <c r="W375" s="356">
        <v>1750000000</v>
      </c>
      <c r="X375" s="353">
        <v>14.561</v>
      </c>
      <c r="Y375" s="376"/>
      <c r="Z375" s="376" t="s">
        <v>376</v>
      </c>
      <c r="AA375" s="356">
        <v>981750015</v>
      </c>
      <c r="AB375" s="270" t="s">
        <v>243</v>
      </c>
      <c r="AC375" s="393" t="s">
        <v>373</v>
      </c>
      <c r="AD375" s="393" t="s">
        <v>361</v>
      </c>
      <c r="AE375" s="358" t="s">
        <v>244</v>
      </c>
      <c r="AF375" s="359" t="s">
        <v>756</v>
      </c>
      <c r="AG375" s="270">
        <v>80111615</v>
      </c>
      <c r="AH375" s="310" t="s">
        <v>737</v>
      </c>
      <c r="AI375" s="301" t="s">
        <v>393</v>
      </c>
      <c r="AJ375" s="301" t="s">
        <v>393</v>
      </c>
      <c r="AK375" s="302">
        <v>4</v>
      </c>
      <c r="AL375" s="303" t="s">
        <v>241</v>
      </c>
      <c r="AM375" s="304" t="s">
        <v>242</v>
      </c>
      <c r="AN375" s="313">
        <v>18917192</v>
      </c>
      <c r="AO375" s="313">
        <v>18917192</v>
      </c>
      <c r="AP375" s="303" t="s">
        <v>244</v>
      </c>
      <c r="AQ375" s="303" t="s">
        <v>245</v>
      </c>
      <c r="AR375" s="360" t="s">
        <v>246</v>
      </c>
      <c r="AS375" s="306" t="s">
        <v>247</v>
      </c>
      <c r="AT375" s="307" t="s">
        <v>372</v>
      </c>
      <c r="AU375" s="308" t="s">
        <v>742</v>
      </c>
      <c r="AV375" s="361" t="s">
        <v>249</v>
      </c>
      <c r="AW375" s="303" t="s">
        <v>244</v>
      </c>
      <c r="AX375" s="303" t="s">
        <v>361</v>
      </c>
      <c r="AY375" s="394" t="s">
        <v>250</v>
      </c>
      <c r="AZ375" s="394" t="s">
        <v>251</v>
      </c>
      <c r="BA375" s="394" t="s">
        <v>252</v>
      </c>
      <c r="BB375" s="394" t="s">
        <v>250</v>
      </c>
      <c r="BC375" s="394"/>
      <c r="BD375" s="394"/>
    </row>
    <row r="376" spans="1:56" customFormat="1" ht="48" x14ac:dyDescent="0.25">
      <c r="A376" s="257">
        <v>374</v>
      </c>
      <c r="B376" s="299" t="s">
        <v>90</v>
      </c>
      <c r="C376" s="299" t="s">
        <v>78</v>
      </c>
      <c r="D376" s="299" t="s">
        <v>375</v>
      </c>
      <c r="E376" s="299"/>
      <c r="F376" s="350" t="s">
        <v>383</v>
      </c>
      <c r="G376" s="350" t="s">
        <v>374</v>
      </c>
      <c r="H376" s="45" t="s">
        <v>69</v>
      </c>
      <c r="I376" s="299"/>
      <c r="J376" s="251">
        <v>1967607.59259259</v>
      </c>
      <c r="K376" s="300">
        <v>15.05</v>
      </c>
      <c r="L376" s="311">
        <v>6699700</v>
      </c>
      <c r="M376" s="299">
        <v>1</v>
      </c>
      <c r="N376" s="299" t="s">
        <v>686</v>
      </c>
      <c r="O376" s="250">
        <v>45500</v>
      </c>
      <c r="P376" s="316">
        <v>45626</v>
      </c>
      <c r="Q376" s="312">
        <v>26798800</v>
      </c>
      <c r="R376" s="317"/>
      <c r="S376" s="317"/>
      <c r="T376" s="312">
        <v>0</v>
      </c>
      <c r="U376" s="318">
        <v>4</v>
      </c>
      <c r="V376" s="312">
        <v>26798800</v>
      </c>
      <c r="W376" s="356">
        <v>1750000000</v>
      </c>
      <c r="X376" s="353">
        <v>14.561</v>
      </c>
      <c r="Y376" s="376"/>
      <c r="Z376" s="376" t="s">
        <v>376</v>
      </c>
      <c r="AA376" s="356">
        <v>981750015</v>
      </c>
      <c r="AB376" s="270" t="s">
        <v>243</v>
      </c>
      <c r="AC376" s="393" t="s">
        <v>373</v>
      </c>
      <c r="AD376" s="393" t="s">
        <v>361</v>
      </c>
      <c r="AE376" s="358" t="s">
        <v>244</v>
      </c>
      <c r="AF376" s="359" t="s">
        <v>757</v>
      </c>
      <c r="AG376" s="270">
        <v>80111615</v>
      </c>
      <c r="AH376" s="310" t="s">
        <v>737</v>
      </c>
      <c r="AI376" s="301" t="s">
        <v>393</v>
      </c>
      <c r="AJ376" s="301" t="s">
        <v>393</v>
      </c>
      <c r="AK376" s="302">
        <v>4</v>
      </c>
      <c r="AL376" s="303" t="s">
        <v>241</v>
      </c>
      <c r="AM376" s="304" t="s">
        <v>242</v>
      </c>
      <c r="AN376" s="313">
        <v>26798800</v>
      </c>
      <c r="AO376" s="313">
        <v>26798800</v>
      </c>
      <c r="AP376" s="303" t="s">
        <v>244</v>
      </c>
      <c r="AQ376" s="303" t="s">
        <v>245</v>
      </c>
      <c r="AR376" s="360" t="s">
        <v>246</v>
      </c>
      <c r="AS376" s="306" t="s">
        <v>247</v>
      </c>
      <c r="AT376" s="307" t="s">
        <v>372</v>
      </c>
      <c r="AU376" s="308" t="s">
        <v>742</v>
      </c>
      <c r="AV376" s="361" t="s">
        <v>249</v>
      </c>
      <c r="AW376" s="303" t="s">
        <v>244</v>
      </c>
      <c r="AX376" s="303" t="s">
        <v>361</v>
      </c>
      <c r="AY376" s="394" t="s">
        <v>250</v>
      </c>
      <c r="AZ376" s="394" t="s">
        <v>251</v>
      </c>
      <c r="BA376" s="394" t="s">
        <v>252</v>
      </c>
      <c r="BB376" s="394" t="s">
        <v>250</v>
      </c>
      <c r="BC376" s="394"/>
      <c r="BD376" s="394"/>
    </row>
    <row r="377" spans="1:56" customFormat="1" ht="48" x14ac:dyDescent="0.25">
      <c r="A377" s="257">
        <v>375</v>
      </c>
      <c r="B377" s="299" t="s">
        <v>90</v>
      </c>
      <c r="C377" s="299" t="s">
        <v>78</v>
      </c>
      <c r="D377" s="299" t="s">
        <v>375</v>
      </c>
      <c r="E377" s="299"/>
      <c r="F377" s="350" t="s">
        <v>383</v>
      </c>
      <c r="G377" s="350" t="s">
        <v>374</v>
      </c>
      <c r="H377" s="45" t="s">
        <v>69</v>
      </c>
      <c r="I377" s="299"/>
      <c r="J377" s="251">
        <v>1967607.59259259</v>
      </c>
      <c r="K377" s="300">
        <v>15.05</v>
      </c>
      <c r="L377" s="311">
        <v>3349850</v>
      </c>
      <c r="M377" s="299">
        <v>1</v>
      </c>
      <c r="N377" s="299" t="s">
        <v>686</v>
      </c>
      <c r="O377" s="250">
        <v>45500</v>
      </c>
      <c r="P377" s="316">
        <v>45626</v>
      </c>
      <c r="Q377" s="312">
        <v>13399400</v>
      </c>
      <c r="R377" s="317"/>
      <c r="S377" s="317"/>
      <c r="T377" s="312">
        <v>0</v>
      </c>
      <c r="U377" s="318">
        <v>4</v>
      </c>
      <c r="V377" s="312">
        <v>13399400</v>
      </c>
      <c r="W377" s="356">
        <v>1750000000</v>
      </c>
      <c r="X377" s="353">
        <v>14.561</v>
      </c>
      <c r="Y377" s="376"/>
      <c r="Z377" s="376" t="s">
        <v>376</v>
      </c>
      <c r="AA377" s="356">
        <v>981750015</v>
      </c>
      <c r="AB377" s="270" t="s">
        <v>243</v>
      </c>
      <c r="AC377" s="393" t="s">
        <v>373</v>
      </c>
      <c r="AD377" s="393" t="s">
        <v>361</v>
      </c>
      <c r="AE377" s="358" t="s">
        <v>244</v>
      </c>
      <c r="AF377" s="359" t="s">
        <v>758</v>
      </c>
      <c r="AG377" s="270">
        <v>80111615</v>
      </c>
      <c r="AH377" s="310" t="s">
        <v>737</v>
      </c>
      <c r="AI377" s="301" t="s">
        <v>393</v>
      </c>
      <c r="AJ377" s="301" t="s">
        <v>393</v>
      </c>
      <c r="AK377" s="302">
        <v>4</v>
      </c>
      <c r="AL377" s="303" t="s">
        <v>241</v>
      </c>
      <c r="AM377" s="304" t="s">
        <v>242</v>
      </c>
      <c r="AN377" s="313">
        <v>13399400</v>
      </c>
      <c r="AO377" s="313">
        <v>13399400</v>
      </c>
      <c r="AP377" s="303" t="s">
        <v>244</v>
      </c>
      <c r="AQ377" s="303" t="s">
        <v>245</v>
      </c>
      <c r="AR377" s="360" t="s">
        <v>246</v>
      </c>
      <c r="AS377" s="306" t="s">
        <v>247</v>
      </c>
      <c r="AT377" s="307" t="s">
        <v>372</v>
      </c>
      <c r="AU377" s="308" t="s">
        <v>742</v>
      </c>
      <c r="AV377" s="361" t="s">
        <v>249</v>
      </c>
      <c r="AW377" s="303" t="s">
        <v>244</v>
      </c>
      <c r="AX377" s="303" t="s">
        <v>361</v>
      </c>
      <c r="AY377" s="394" t="s">
        <v>250</v>
      </c>
      <c r="AZ377" s="394" t="s">
        <v>251</v>
      </c>
      <c r="BA377" s="394" t="s">
        <v>252</v>
      </c>
      <c r="BB377" s="394" t="s">
        <v>250</v>
      </c>
      <c r="BC377" s="394"/>
      <c r="BD377" s="394"/>
    </row>
    <row r="378" spans="1:56" ht="48" x14ac:dyDescent="0.2">
      <c r="A378" s="257">
        <v>376</v>
      </c>
      <c r="B378" s="299" t="s">
        <v>90</v>
      </c>
      <c r="C378" s="299" t="s">
        <v>78</v>
      </c>
      <c r="D378" s="299" t="s">
        <v>375</v>
      </c>
      <c r="E378" s="299"/>
      <c r="F378" s="350" t="s">
        <v>383</v>
      </c>
      <c r="G378" s="350" t="s">
        <v>374</v>
      </c>
      <c r="H378" s="45" t="s">
        <v>67</v>
      </c>
      <c r="I378" s="299"/>
      <c r="J378" s="309">
        <v>1967604.59259259</v>
      </c>
      <c r="K378" s="300">
        <v>12.05</v>
      </c>
      <c r="L378" s="430">
        <v>3061390</v>
      </c>
      <c r="M378" s="299">
        <v>1</v>
      </c>
      <c r="N378" s="299" t="s">
        <v>686</v>
      </c>
      <c r="O378" s="250">
        <v>45500</v>
      </c>
      <c r="P378" s="316">
        <v>45626</v>
      </c>
      <c r="Q378" s="427">
        <v>12245560</v>
      </c>
      <c r="R378" s="317"/>
      <c r="S378" s="317"/>
      <c r="T378" s="427">
        <v>0</v>
      </c>
      <c r="U378" s="428">
        <v>4</v>
      </c>
      <c r="V378" s="427">
        <v>12245560</v>
      </c>
      <c r="W378" s="429">
        <v>1750000000</v>
      </c>
      <c r="X378" s="353">
        <v>11.561</v>
      </c>
      <c r="Y378" s="376"/>
      <c r="Z378" s="376" t="s">
        <v>376</v>
      </c>
      <c r="AA378" s="429">
        <v>981750012</v>
      </c>
      <c r="AB378" s="270" t="s">
        <v>243</v>
      </c>
      <c r="AC378" s="393" t="s">
        <v>373</v>
      </c>
      <c r="AD378" s="393" t="s">
        <v>361</v>
      </c>
      <c r="AE378" s="358" t="s">
        <v>244</v>
      </c>
      <c r="AF378" s="359" t="str">
        <f t="shared" si="233"/>
        <v>CLE-376</v>
      </c>
      <c r="AG378" s="270">
        <v>80111600</v>
      </c>
      <c r="AH378" s="310" t="s">
        <v>737</v>
      </c>
      <c r="AI378" s="301" t="s">
        <v>393</v>
      </c>
      <c r="AJ378" s="301" t="s">
        <v>393</v>
      </c>
      <c r="AK378" s="302">
        <v>4</v>
      </c>
      <c r="AL378" s="303" t="s">
        <v>241</v>
      </c>
      <c r="AM378" s="304" t="s">
        <v>242</v>
      </c>
      <c r="AN378" s="305">
        <v>12245560</v>
      </c>
      <c r="AO378" s="305">
        <v>12245560</v>
      </c>
      <c r="AP378" s="303" t="s">
        <v>244</v>
      </c>
      <c r="AQ378" s="303" t="s">
        <v>245</v>
      </c>
      <c r="AR378" s="360" t="s">
        <v>246</v>
      </c>
      <c r="AS378" s="306" t="s">
        <v>247</v>
      </c>
      <c r="AT378" s="307" t="s">
        <v>372</v>
      </c>
      <c r="AU378" s="308" t="s">
        <v>741</v>
      </c>
      <c r="AV378" s="361" t="s">
        <v>249</v>
      </c>
      <c r="AW378" s="303" t="s">
        <v>244</v>
      </c>
      <c r="AX378" s="303" t="s">
        <v>361</v>
      </c>
      <c r="AY378" s="394" t="s">
        <v>250</v>
      </c>
      <c r="AZ378" s="394" t="s">
        <v>251</v>
      </c>
      <c r="BA378" s="394" t="s">
        <v>252</v>
      </c>
      <c r="BB378" s="394" t="s">
        <v>250</v>
      </c>
      <c r="BC378" s="394"/>
      <c r="BD378" s="394"/>
    </row>
    <row r="379" spans="1:56" customFormat="1" ht="48" x14ac:dyDescent="0.25">
      <c r="A379" s="257">
        <v>377</v>
      </c>
      <c r="B379" s="299" t="s">
        <v>90</v>
      </c>
      <c r="C379" s="299" t="s">
        <v>78</v>
      </c>
      <c r="D379" s="299" t="s">
        <v>375</v>
      </c>
      <c r="E379" s="299"/>
      <c r="F379" s="350" t="s">
        <v>383</v>
      </c>
      <c r="G379" s="350" t="s">
        <v>374</v>
      </c>
      <c r="H379" s="45" t="s">
        <v>69</v>
      </c>
      <c r="I379" s="299"/>
      <c r="J379" s="251">
        <v>1967592.5925925926</v>
      </c>
      <c r="K379" s="300">
        <v>5.0000000000000044E-2</v>
      </c>
      <c r="L379" s="416">
        <v>1036679</v>
      </c>
      <c r="M379" s="299">
        <v>1</v>
      </c>
      <c r="N379" s="299" t="s">
        <v>686</v>
      </c>
      <c r="O379" s="250">
        <v>45507</v>
      </c>
      <c r="P379" s="316">
        <v>45626</v>
      </c>
      <c r="Q379" s="312">
        <v>4146716</v>
      </c>
      <c r="R379" s="317"/>
      <c r="S379" s="317"/>
      <c r="T379" s="312">
        <v>0</v>
      </c>
      <c r="U379" s="318">
        <v>5</v>
      </c>
      <c r="V379" s="427">
        <v>4146716</v>
      </c>
      <c r="W379" s="427">
        <v>1750000000</v>
      </c>
      <c r="X379" s="427">
        <v>-0.43899999999999995</v>
      </c>
      <c r="Y379" s="427"/>
      <c r="Z379" s="427" t="s">
        <v>376</v>
      </c>
      <c r="AA379" s="429">
        <v>981750000</v>
      </c>
      <c r="AB379" s="270" t="s">
        <v>243</v>
      </c>
      <c r="AC379" s="393" t="s">
        <v>373</v>
      </c>
      <c r="AD379" s="393" t="s">
        <v>361</v>
      </c>
      <c r="AE379" s="358" t="s">
        <v>244</v>
      </c>
      <c r="AF379" s="315" t="s">
        <v>772</v>
      </c>
      <c r="AG379" s="270">
        <v>80111600</v>
      </c>
      <c r="AH379" s="310" t="s">
        <v>737</v>
      </c>
      <c r="AI379" s="301" t="s">
        <v>769</v>
      </c>
      <c r="AJ379" s="301" t="s">
        <v>769</v>
      </c>
      <c r="AK379" s="302">
        <v>5</v>
      </c>
      <c r="AL379" s="303" t="s">
        <v>241</v>
      </c>
      <c r="AM379" s="304" t="s">
        <v>242</v>
      </c>
      <c r="AN379" s="313">
        <v>4146716</v>
      </c>
      <c r="AO379" s="313">
        <v>4146716</v>
      </c>
      <c r="AP379" s="303" t="s">
        <v>244</v>
      </c>
      <c r="AQ379" s="303" t="s">
        <v>245</v>
      </c>
      <c r="AR379" s="360" t="s">
        <v>246</v>
      </c>
      <c r="AS379" s="306" t="s">
        <v>247</v>
      </c>
      <c r="AT379" s="307" t="s">
        <v>372</v>
      </c>
      <c r="AU379" s="308" t="s">
        <v>248</v>
      </c>
      <c r="AV379" s="361" t="s">
        <v>249</v>
      </c>
      <c r="AW379" s="303" t="s">
        <v>244</v>
      </c>
      <c r="AX379" s="303" t="s">
        <v>361</v>
      </c>
      <c r="AY379" s="394" t="s">
        <v>250</v>
      </c>
      <c r="AZ379" s="394" t="s">
        <v>251</v>
      </c>
      <c r="BA379" s="394" t="s">
        <v>252</v>
      </c>
      <c r="BB379" s="394" t="s">
        <v>250</v>
      </c>
      <c r="BC379" s="394"/>
      <c r="BD379" s="394"/>
    </row>
    <row r="380" spans="1:56" customFormat="1" ht="48" x14ac:dyDescent="0.25">
      <c r="A380" s="257">
        <v>378</v>
      </c>
      <c r="B380" s="299" t="s">
        <v>90</v>
      </c>
      <c r="C380" s="299" t="s">
        <v>78</v>
      </c>
      <c r="D380" s="299" t="s">
        <v>375</v>
      </c>
      <c r="E380" s="299"/>
      <c r="F380" s="350" t="s">
        <v>383</v>
      </c>
      <c r="G380" s="350" t="s">
        <v>374</v>
      </c>
      <c r="H380" s="45" t="s">
        <v>69</v>
      </c>
      <c r="I380" s="299"/>
      <c r="J380" s="251">
        <v>1967604.59259259</v>
      </c>
      <c r="K380" s="300">
        <v>12.05</v>
      </c>
      <c r="L380" s="311">
        <f t="shared" ref="L380" si="235">Q380/U380</f>
        <v>3645529</v>
      </c>
      <c r="M380" s="299">
        <v>1</v>
      </c>
      <c r="N380" s="299" t="s">
        <v>686</v>
      </c>
      <c r="O380" s="250">
        <v>45500</v>
      </c>
      <c r="P380" s="316">
        <v>45626</v>
      </c>
      <c r="Q380" s="312">
        <v>14582116</v>
      </c>
      <c r="R380" s="317"/>
      <c r="S380" s="317"/>
      <c r="T380" s="312">
        <v>0</v>
      </c>
      <c r="U380" s="318">
        <v>4</v>
      </c>
      <c r="V380" s="312">
        <v>14582116</v>
      </c>
      <c r="W380" s="356">
        <v>1750000000</v>
      </c>
      <c r="X380" s="353">
        <v>11.561</v>
      </c>
      <c r="Y380" s="376"/>
      <c r="Z380" s="376" t="s">
        <v>376</v>
      </c>
      <c r="AA380" s="356">
        <v>981750012</v>
      </c>
      <c r="AB380" s="270" t="s">
        <v>243</v>
      </c>
      <c r="AC380" s="393" t="s">
        <v>373</v>
      </c>
      <c r="AD380" s="393" t="s">
        <v>361</v>
      </c>
      <c r="AE380" s="358" t="s">
        <v>244</v>
      </c>
      <c r="AF380" s="359" t="s">
        <v>759</v>
      </c>
      <c r="AG380" s="270">
        <v>80111612</v>
      </c>
      <c r="AH380" s="310" t="s">
        <v>737</v>
      </c>
      <c r="AI380" s="301" t="s">
        <v>393</v>
      </c>
      <c r="AJ380" s="301" t="s">
        <v>393</v>
      </c>
      <c r="AK380" s="302">
        <v>4</v>
      </c>
      <c r="AL380" s="303" t="s">
        <v>241</v>
      </c>
      <c r="AM380" s="304" t="s">
        <v>242</v>
      </c>
      <c r="AN380" s="313">
        <v>14582116</v>
      </c>
      <c r="AO380" s="313">
        <v>14582116</v>
      </c>
      <c r="AP380" s="303" t="s">
        <v>244</v>
      </c>
      <c r="AQ380" s="303" t="s">
        <v>245</v>
      </c>
      <c r="AR380" s="360" t="s">
        <v>246</v>
      </c>
      <c r="AS380" s="306" t="s">
        <v>247</v>
      </c>
      <c r="AT380" s="307" t="s">
        <v>372</v>
      </c>
      <c r="AU380" s="308" t="s">
        <v>741</v>
      </c>
      <c r="AV380" s="361" t="s">
        <v>249</v>
      </c>
      <c r="AW380" s="303" t="s">
        <v>244</v>
      </c>
      <c r="AX380" s="303" t="s">
        <v>361</v>
      </c>
      <c r="AY380" s="394" t="s">
        <v>250</v>
      </c>
      <c r="AZ380" s="394" t="s">
        <v>251</v>
      </c>
      <c r="BA380" s="394" t="s">
        <v>252</v>
      </c>
      <c r="BB380" s="394" t="s">
        <v>250</v>
      </c>
      <c r="BC380" s="394"/>
      <c r="BD380" s="394"/>
    </row>
    <row r="381" spans="1:56" ht="48" x14ac:dyDescent="0.2">
      <c r="A381" s="257">
        <v>379</v>
      </c>
      <c r="B381" s="299" t="s">
        <v>90</v>
      </c>
      <c r="C381" s="299" t="s">
        <v>78</v>
      </c>
      <c r="D381" s="299" t="s">
        <v>375</v>
      </c>
      <c r="E381" s="299"/>
      <c r="F381" s="350" t="s">
        <v>383</v>
      </c>
      <c r="G381" s="350" t="s">
        <v>374</v>
      </c>
      <c r="H381" s="45" t="s">
        <v>69</v>
      </c>
      <c r="I381" s="299"/>
      <c r="J381" s="309">
        <v>1967604.59259259</v>
      </c>
      <c r="K381" s="300">
        <v>12.05</v>
      </c>
      <c r="L381" s="430">
        <v>3163972</v>
      </c>
      <c r="M381" s="299">
        <v>1</v>
      </c>
      <c r="N381" s="299" t="s">
        <v>686</v>
      </c>
      <c r="O381" s="250">
        <v>45500</v>
      </c>
      <c r="P381" s="316">
        <v>45626</v>
      </c>
      <c r="Q381" s="427">
        <v>12655888</v>
      </c>
      <c r="R381" s="317"/>
      <c r="S381" s="317"/>
      <c r="T381" s="427">
        <v>0</v>
      </c>
      <c r="U381" s="428">
        <v>4</v>
      </c>
      <c r="V381" s="427">
        <v>12655888</v>
      </c>
      <c r="W381" s="429">
        <v>1750000000</v>
      </c>
      <c r="X381" s="353">
        <v>11.561</v>
      </c>
      <c r="Y381" s="376"/>
      <c r="Z381" s="376" t="s">
        <v>376</v>
      </c>
      <c r="AA381" s="429">
        <v>981750012</v>
      </c>
      <c r="AB381" s="270" t="s">
        <v>243</v>
      </c>
      <c r="AC381" s="393" t="s">
        <v>373</v>
      </c>
      <c r="AD381" s="393" t="s">
        <v>361</v>
      </c>
      <c r="AE381" s="358" t="s">
        <v>244</v>
      </c>
      <c r="AF381" s="359" t="str">
        <f t="shared" si="233"/>
        <v>CLE-379</v>
      </c>
      <c r="AG381" s="270">
        <v>80111600</v>
      </c>
      <c r="AH381" s="310" t="s">
        <v>737</v>
      </c>
      <c r="AI381" s="301" t="s">
        <v>393</v>
      </c>
      <c r="AJ381" s="301" t="s">
        <v>393</v>
      </c>
      <c r="AK381" s="302">
        <v>4</v>
      </c>
      <c r="AL381" s="303" t="s">
        <v>241</v>
      </c>
      <c r="AM381" s="304" t="s">
        <v>242</v>
      </c>
      <c r="AN381" s="305">
        <v>12655888</v>
      </c>
      <c r="AO381" s="305">
        <v>12655888</v>
      </c>
      <c r="AP381" s="303" t="s">
        <v>244</v>
      </c>
      <c r="AQ381" s="303" t="s">
        <v>245</v>
      </c>
      <c r="AR381" s="360" t="s">
        <v>246</v>
      </c>
      <c r="AS381" s="306" t="s">
        <v>247</v>
      </c>
      <c r="AT381" s="307" t="s">
        <v>372</v>
      </c>
      <c r="AU381" s="308" t="s">
        <v>741</v>
      </c>
      <c r="AV381" s="361" t="s">
        <v>249</v>
      </c>
      <c r="AW381" s="303" t="s">
        <v>244</v>
      </c>
      <c r="AX381" s="303" t="s">
        <v>361</v>
      </c>
      <c r="AY381" s="394" t="s">
        <v>250</v>
      </c>
      <c r="AZ381" s="394" t="s">
        <v>251</v>
      </c>
      <c r="BA381" s="394" t="s">
        <v>252</v>
      </c>
      <c r="BB381" s="394" t="s">
        <v>250</v>
      </c>
      <c r="BC381" s="394"/>
      <c r="BD381" s="394"/>
    </row>
    <row r="382" spans="1:56" ht="48" x14ac:dyDescent="0.2">
      <c r="A382" s="257">
        <v>380</v>
      </c>
      <c r="B382" s="299" t="s">
        <v>90</v>
      </c>
      <c r="C382" s="299" t="s">
        <v>78</v>
      </c>
      <c r="D382" s="299" t="s">
        <v>375</v>
      </c>
      <c r="E382" s="299"/>
      <c r="F382" s="350" t="s">
        <v>383</v>
      </c>
      <c r="G382" s="350" t="s">
        <v>374</v>
      </c>
      <c r="H382" s="45" t="s">
        <v>69</v>
      </c>
      <c r="I382" s="299"/>
      <c r="J382" s="309">
        <v>1967604.59259259</v>
      </c>
      <c r="K382" s="300">
        <v>12.05</v>
      </c>
      <c r="L382" s="430">
        <v>3163972</v>
      </c>
      <c r="M382" s="299">
        <v>1</v>
      </c>
      <c r="N382" s="299" t="s">
        <v>686</v>
      </c>
      <c r="O382" s="250">
        <v>45500</v>
      </c>
      <c r="P382" s="316">
        <v>45626</v>
      </c>
      <c r="Q382" s="427">
        <v>12655888</v>
      </c>
      <c r="R382" s="317"/>
      <c r="S382" s="317"/>
      <c r="T382" s="427">
        <v>0</v>
      </c>
      <c r="U382" s="428">
        <v>4</v>
      </c>
      <c r="V382" s="427">
        <v>12655888</v>
      </c>
      <c r="W382" s="429">
        <v>1750000000</v>
      </c>
      <c r="X382" s="353">
        <v>11.561</v>
      </c>
      <c r="Y382" s="376"/>
      <c r="Z382" s="376" t="s">
        <v>376</v>
      </c>
      <c r="AA382" s="429">
        <v>981750012</v>
      </c>
      <c r="AB382" s="270" t="s">
        <v>243</v>
      </c>
      <c r="AC382" s="393" t="s">
        <v>373</v>
      </c>
      <c r="AD382" s="393" t="s">
        <v>361</v>
      </c>
      <c r="AE382" s="358" t="s">
        <v>244</v>
      </c>
      <c r="AF382" s="359" t="str">
        <f t="shared" si="233"/>
        <v>CLE-380</v>
      </c>
      <c r="AG382" s="270">
        <v>80111600</v>
      </c>
      <c r="AH382" s="310" t="s">
        <v>737</v>
      </c>
      <c r="AI382" s="301" t="s">
        <v>393</v>
      </c>
      <c r="AJ382" s="301" t="s">
        <v>393</v>
      </c>
      <c r="AK382" s="302">
        <v>4</v>
      </c>
      <c r="AL382" s="303" t="s">
        <v>241</v>
      </c>
      <c r="AM382" s="304" t="s">
        <v>242</v>
      </c>
      <c r="AN382" s="305">
        <v>12655888</v>
      </c>
      <c r="AO382" s="305">
        <v>12655888</v>
      </c>
      <c r="AP382" s="303" t="s">
        <v>244</v>
      </c>
      <c r="AQ382" s="303" t="s">
        <v>245</v>
      </c>
      <c r="AR382" s="360" t="s">
        <v>246</v>
      </c>
      <c r="AS382" s="306" t="s">
        <v>247</v>
      </c>
      <c r="AT382" s="307" t="s">
        <v>372</v>
      </c>
      <c r="AU382" s="308" t="s">
        <v>741</v>
      </c>
      <c r="AV382" s="361" t="s">
        <v>249</v>
      </c>
      <c r="AW382" s="303" t="s">
        <v>244</v>
      </c>
      <c r="AX382" s="303" t="s">
        <v>361</v>
      </c>
      <c r="AY382" s="394" t="s">
        <v>250</v>
      </c>
      <c r="AZ382" s="394" t="s">
        <v>251</v>
      </c>
      <c r="BA382" s="394" t="s">
        <v>252</v>
      </c>
      <c r="BB382" s="394" t="s">
        <v>250</v>
      </c>
      <c r="BC382" s="394"/>
      <c r="BD382" s="394"/>
    </row>
    <row r="383" spans="1:56" ht="48" x14ac:dyDescent="0.2">
      <c r="A383" s="257">
        <v>381</v>
      </c>
      <c r="B383" s="299" t="s">
        <v>90</v>
      </c>
      <c r="C383" s="299" t="s">
        <v>78</v>
      </c>
      <c r="D383" s="299" t="s">
        <v>375</v>
      </c>
      <c r="E383" s="299"/>
      <c r="F383" s="350" t="s">
        <v>383</v>
      </c>
      <c r="G383" s="350" t="s">
        <v>374</v>
      </c>
      <c r="H383" s="45" t="s">
        <v>69</v>
      </c>
      <c r="I383" s="299"/>
      <c r="J383" s="309">
        <v>1967604.59259259</v>
      </c>
      <c r="K383" s="300">
        <v>12.05</v>
      </c>
      <c r="L383" s="430">
        <v>3163972</v>
      </c>
      <c r="M383" s="299">
        <v>1</v>
      </c>
      <c r="N383" s="299" t="s">
        <v>686</v>
      </c>
      <c r="O383" s="250">
        <v>45500</v>
      </c>
      <c r="P383" s="316">
        <v>45626</v>
      </c>
      <c r="Q383" s="427">
        <v>12655888</v>
      </c>
      <c r="R383" s="317"/>
      <c r="S383" s="317"/>
      <c r="T383" s="427">
        <v>0</v>
      </c>
      <c r="U383" s="428">
        <v>4</v>
      </c>
      <c r="V383" s="427">
        <v>12655888</v>
      </c>
      <c r="W383" s="429">
        <v>1750000000</v>
      </c>
      <c r="X383" s="353">
        <v>11.561</v>
      </c>
      <c r="Y383" s="376"/>
      <c r="Z383" s="376" t="s">
        <v>376</v>
      </c>
      <c r="AA383" s="429">
        <v>981750012</v>
      </c>
      <c r="AB383" s="270" t="s">
        <v>243</v>
      </c>
      <c r="AC383" s="393" t="s">
        <v>373</v>
      </c>
      <c r="AD383" s="393" t="s">
        <v>361</v>
      </c>
      <c r="AE383" s="358" t="s">
        <v>244</v>
      </c>
      <c r="AF383" s="359" t="str">
        <f t="shared" si="233"/>
        <v>CLE-381</v>
      </c>
      <c r="AG383" s="270">
        <v>80111600</v>
      </c>
      <c r="AH383" s="310" t="s">
        <v>737</v>
      </c>
      <c r="AI383" s="301" t="s">
        <v>393</v>
      </c>
      <c r="AJ383" s="301" t="s">
        <v>393</v>
      </c>
      <c r="AK383" s="302">
        <v>4</v>
      </c>
      <c r="AL383" s="303" t="s">
        <v>241</v>
      </c>
      <c r="AM383" s="304" t="s">
        <v>242</v>
      </c>
      <c r="AN383" s="305">
        <v>12655888</v>
      </c>
      <c r="AO383" s="305">
        <v>12655888</v>
      </c>
      <c r="AP383" s="303" t="s">
        <v>244</v>
      </c>
      <c r="AQ383" s="303" t="s">
        <v>245</v>
      </c>
      <c r="AR383" s="360" t="s">
        <v>246</v>
      </c>
      <c r="AS383" s="306" t="s">
        <v>247</v>
      </c>
      <c r="AT383" s="307" t="s">
        <v>372</v>
      </c>
      <c r="AU383" s="308" t="s">
        <v>741</v>
      </c>
      <c r="AV383" s="361" t="s">
        <v>249</v>
      </c>
      <c r="AW383" s="303" t="s">
        <v>244</v>
      </c>
      <c r="AX383" s="303" t="s">
        <v>361</v>
      </c>
      <c r="AY383" s="394" t="s">
        <v>250</v>
      </c>
      <c r="AZ383" s="394" t="s">
        <v>251</v>
      </c>
      <c r="BA383" s="394" t="s">
        <v>252</v>
      </c>
      <c r="BB383" s="394" t="s">
        <v>250</v>
      </c>
      <c r="BC383" s="394"/>
      <c r="BD383" s="394"/>
    </row>
    <row r="384" spans="1:56" customFormat="1" ht="48" x14ac:dyDescent="0.25">
      <c r="A384" s="257">
        <v>382</v>
      </c>
      <c r="B384" s="299" t="s">
        <v>90</v>
      </c>
      <c r="C384" s="299" t="s">
        <v>78</v>
      </c>
      <c r="D384" s="299" t="s">
        <v>375</v>
      </c>
      <c r="E384" s="299"/>
      <c r="F384" s="350" t="s">
        <v>383</v>
      </c>
      <c r="G384" s="350" t="s">
        <v>374</v>
      </c>
      <c r="H384" s="45" t="s">
        <v>69</v>
      </c>
      <c r="I384" s="299"/>
      <c r="J384" s="251">
        <v>1967607.59259259</v>
      </c>
      <c r="K384" s="300">
        <v>15.05</v>
      </c>
      <c r="L384" s="311" t="s">
        <v>739</v>
      </c>
      <c r="M384" s="299">
        <v>1</v>
      </c>
      <c r="N384" s="299" t="s">
        <v>686</v>
      </c>
      <c r="O384" s="250">
        <v>45500</v>
      </c>
      <c r="P384" s="316">
        <v>45626</v>
      </c>
      <c r="Q384" s="312">
        <v>23646036</v>
      </c>
      <c r="R384" s="317"/>
      <c r="S384" s="317"/>
      <c r="T384" s="312">
        <v>0</v>
      </c>
      <c r="U384" s="318">
        <v>4</v>
      </c>
      <c r="V384" s="312">
        <v>23646036</v>
      </c>
      <c r="W384" s="356"/>
      <c r="X384" s="353"/>
      <c r="Y384" s="376"/>
      <c r="Z384" s="376"/>
      <c r="AA384" s="356"/>
      <c r="AB384" s="270" t="s">
        <v>243</v>
      </c>
      <c r="AC384" s="393" t="s">
        <v>373</v>
      </c>
      <c r="AD384" s="393" t="s">
        <v>361</v>
      </c>
      <c r="AE384" s="358" t="s">
        <v>244</v>
      </c>
      <c r="AF384" s="359" t="s">
        <v>760</v>
      </c>
      <c r="AG384" s="270">
        <v>80111612</v>
      </c>
      <c r="AH384" s="310" t="s">
        <v>737</v>
      </c>
      <c r="AI384" s="301" t="s">
        <v>393</v>
      </c>
      <c r="AJ384" s="301" t="s">
        <v>393</v>
      </c>
      <c r="AK384" s="302">
        <v>4</v>
      </c>
      <c r="AL384" s="303" t="s">
        <v>241</v>
      </c>
      <c r="AM384" s="304" t="s">
        <v>242</v>
      </c>
      <c r="AN384" s="313">
        <v>23646036</v>
      </c>
      <c r="AO384" s="313">
        <v>23646036</v>
      </c>
      <c r="AP384" s="303" t="s">
        <v>244</v>
      </c>
      <c r="AQ384" s="303" t="s">
        <v>245</v>
      </c>
      <c r="AR384" s="360" t="s">
        <v>246</v>
      </c>
      <c r="AS384" s="306" t="s">
        <v>247</v>
      </c>
      <c r="AT384" s="307" t="s">
        <v>372</v>
      </c>
      <c r="AU384" s="308" t="s">
        <v>741</v>
      </c>
      <c r="AV384" s="361" t="s">
        <v>249</v>
      </c>
      <c r="AW384" s="303" t="s">
        <v>244</v>
      </c>
      <c r="AX384" s="303" t="s">
        <v>361</v>
      </c>
      <c r="AY384" s="394" t="s">
        <v>250</v>
      </c>
      <c r="AZ384" s="394" t="s">
        <v>251</v>
      </c>
      <c r="BA384" s="394" t="s">
        <v>252</v>
      </c>
      <c r="BB384" s="394" t="s">
        <v>250</v>
      </c>
      <c r="BC384" s="394"/>
      <c r="BD384" s="394"/>
    </row>
    <row r="385" spans="1:56" customFormat="1" ht="48" x14ac:dyDescent="0.25">
      <c r="A385" s="257">
        <v>383</v>
      </c>
      <c r="B385" s="299" t="s">
        <v>90</v>
      </c>
      <c r="C385" s="299" t="s">
        <v>78</v>
      </c>
      <c r="D385" s="299" t="s">
        <v>375</v>
      </c>
      <c r="E385" s="299"/>
      <c r="F385" s="350" t="s">
        <v>383</v>
      </c>
      <c r="G385" s="350" t="s">
        <v>374</v>
      </c>
      <c r="H385" s="45" t="s">
        <v>67</v>
      </c>
      <c r="I385" s="299"/>
      <c r="J385" s="251">
        <v>1967607.59259259</v>
      </c>
      <c r="K385" s="300">
        <v>15.05</v>
      </c>
      <c r="L385" s="311" t="s">
        <v>739</v>
      </c>
      <c r="M385" s="299">
        <v>1</v>
      </c>
      <c r="N385" s="299" t="s">
        <v>686</v>
      </c>
      <c r="O385" s="250">
        <v>45500</v>
      </c>
      <c r="P385" s="316">
        <v>45626</v>
      </c>
      <c r="Q385" s="312">
        <v>20246106</v>
      </c>
      <c r="R385" s="317"/>
      <c r="S385" s="317"/>
      <c r="T385" s="312">
        <v>0</v>
      </c>
      <c r="U385" s="318">
        <v>4</v>
      </c>
      <c r="V385" s="312">
        <v>20246106</v>
      </c>
      <c r="W385" s="356">
        <v>1750000000</v>
      </c>
      <c r="X385" s="353">
        <v>14.561</v>
      </c>
      <c r="Y385" s="376"/>
      <c r="Z385" s="376" t="s">
        <v>376</v>
      </c>
      <c r="AA385" s="356">
        <v>981750015</v>
      </c>
      <c r="AB385" s="270" t="s">
        <v>243</v>
      </c>
      <c r="AC385" s="393" t="s">
        <v>373</v>
      </c>
      <c r="AD385" s="393" t="s">
        <v>361</v>
      </c>
      <c r="AE385" s="358" t="s">
        <v>244</v>
      </c>
      <c r="AF385" s="359" t="s">
        <v>761</v>
      </c>
      <c r="AG385" s="270">
        <v>80111615</v>
      </c>
      <c r="AH385" s="310" t="s">
        <v>737</v>
      </c>
      <c r="AI385" s="301" t="s">
        <v>393</v>
      </c>
      <c r="AJ385" s="301" t="s">
        <v>393</v>
      </c>
      <c r="AK385" s="302">
        <v>4</v>
      </c>
      <c r="AL385" s="303" t="s">
        <v>241</v>
      </c>
      <c r="AM385" s="304" t="s">
        <v>242</v>
      </c>
      <c r="AN385" s="305">
        <v>20246106</v>
      </c>
      <c r="AO385" s="305">
        <v>20246106</v>
      </c>
      <c r="AP385" s="303" t="s">
        <v>244</v>
      </c>
      <c r="AQ385" s="303" t="s">
        <v>245</v>
      </c>
      <c r="AR385" s="360" t="s">
        <v>246</v>
      </c>
      <c r="AS385" s="306" t="s">
        <v>247</v>
      </c>
      <c r="AT385" s="307" t="s">
        <v>372</v>
      </c>
      <c r="AU385" s="308" t="s">
        <v>742</v>
      </c>
      <c r="AV385" s="361" t="s">
        <v>249</v>
      </c>
      <c r="AW385" s="303" t="s">
        <v>244</v>
      </c>
      <c r="AX385" s="303" t="s">
        <v>361</v>
      </c>
      <c r="AY385" s="394" t="s">
        <v>250</v>
      </c>
      <c r="AZ385" s="394" t="s">
        <v>251</v>
      </c>
      <c r="BA385" s="394" t="s">
        <v>252</v>
      </c>
      <c r="BB385" s="394" t="s">
        <v>250</v>
      </c>
      <c r="BC385" s="394"/>
      <c r="BD385" s="394"/>
    </row>
    <row r="386" spans="1:56" customFormat="1" ht="48" x14ac:dyDescent="0.25">
      <c r="A386" s="257">
        <v>384</v>
      </c>
      <c r="B386" s="299" t="s">
        <v>90</v>
      </c>
      <c r="C386" s="299" t="s">
        <v>78</v>
      </c>
      <c r="D386" s="299" t="s">
        <v>375</v>
      </c>
      <c r="E386" s="299"/>
      <c r="F386" s="350" t="s">
        <v>383</v>
      </c>
      <c r="G386" s="350" t="s">
        <v>374</v>
      </c>
      <c r="H386" s="45" t="s">
        <v>67</v>
      </c>
      <c r="I386" s="299"/>
      <c r="J386" s="251">
        <v>1967604.59259259</v>
      </c>
      <c r="K386" s="300">
        <v>12.05</v>
      </c>
      <c r="L386" s="311" t="s">
        <v>739</v>
      </c>
      <c r="M386" s="299">
        <v>1</v>
      </c>
      <c r="N386" s="299" t="s">
        <v>686</v>
      </c>
      <c r="O386" s="250">
        <v>45500</v>
      </c>
      <c r="P386" s="316">
        <v>45626</v>
      </c>
      <c r="Q386" s="312">
        <v>16245834</v>
      </c>
      <c r="R386" s="317"/>
      <c r="S386" s="317"/>
      <c r="T386" s="312">
        <v>0</v>
      </c>
      <c r="U386" s="318">
        <v>4</v>
      </c>
      <c r="V386" s="312">
        <v>16245834</v>
      </c>
      <c r="W386" s="356">
        <v>1750000000</v>
      </c>
      <c r="X386" s="353">
        <v>11.561</v>
      </c>
      <c r="Y386" s="376"/>
      <c r="Z386" s="376" t="s">
        <v>376</v>
      </c>
      <c r="AA386" s="356">
        <v>981750012</v>
      </c>
      <c r="AB386" s="270" t="s">
        <v>243</v>
      </c>
      <c r="AC386" s="393" t="s">
        <v>373</v>
      </c>
      <c r="AD386" s="393" t="s">
        <v>361</v>
      </c>
      <c r="AE386" s="358" t="s">
        <v>244</v>
      </c>
      <c r="AF386" s="359" t="s">
        <v>762</v>
      </c>
      <c r="AG386" s="270">
        <v>80111612</v>
      </c>
      <c r="AH386" s="310" t="s">
        <v>737</v>
      </c>
      <c r="AI386" s="301" t="s">
        <v>393</v>
      </c>
      <c r="AJ386" s="301" t="s">
        <v>393</v>
      </c>
      <c r="AK386" s="302">
        <v>4</v>
      </c>
      <c r="AL386" s="303" t="s">
        <v>241</v>
      </c>
      <c r="AM386" s="304" t="s">
        <v>242</v>
      </c>
      <c r="AN386" s="305">
        <v>16245834</v>
      </c>
      <c r="AO386" s="305">
        <v>16245834</v>
      </c>
      <c r="AP386" s="303" t="s">
        <v>244</v>
      </c>
      <c r="AQ386" s="303" t="s">
        <v>245</v>
      </c>
      <c r="AR386" s="360" t="s">
        <v>246</v>
      </c>
      <c r="AS386" s="306" t="s">
        <v>247</v>
      </c>
      <c r="AT386" s="307" t="s">
        <v>372</v>
      </c>
      <c r="AU386" s="308" t="s">
        <v>741</v>
      </c>
      <c r="AV386" s="361" t="s">
        <v>249</v>
      </c>
      <c r="AW386" s="303" t="s">
        <v>244</v>
      </c>
      <c r="AX386" s="303" t="s">
        <v>361</v>
      </c>
      <c r="AY386" s="394" t="s">
        <v>250</v>
      </c>
      <c r="AZ386" s="394" t="s">
        <v>251</v>
      </c>
      <c r="BA386" s="394" t="s">
        <v>252</v>
      </c>
      <c r="BB386" s="394" t="s">
        <v>250</v>
      </c>
      <c r="BC386" s="394"/>
      <c r="BD386" s="394"/>
    </row>
    <row r="387" spans="1:56" ht="48" x14ac:dyDescent="0.2">
      <c r="A387" s="257">
        <v>385</v>
      </c>
      <c r="B387" s="299" t="s">
        <v>90</v>
      </c>
      <c r="C387" s="299" t="s">
        <v>78</v>
      </c>
      <c r="D387" s="299" t="s">
        <v>375</v>
      </c>
      <c r="E387" s="299"/>
      <c r="F387" s="350" t="s">
        <v>383</v>
      </c>
      <c r="G387" s="350" t="s">
        <v>374</v>
      </c>
      <c r="H387" s="45" t="s">
        <v>67</v>
      </c>
      <c r="I387" s="299"/>
      <c r="J387" s="309">
        <v>1967604.59259259</v>
      </c>
      <c r="K387" s="300">
        <v>12.05</v>
      </c>
      <c r="L387" s="430">
        <v>1829707</v>
      </c>
      <c r="M387" s="299">
        <v>1</v>
      </c>
      <c r="N387" s="299" t="s">
        <v>686</v>
      </c>
      <c r="O387" s="250">
        <v>45500</v>
      </c>
      <c r="P387" s="316">
        <v>45626</v>
      </c>
      <c r="Q387" s="427">
        <v>7318828</v>
      </c>
      <c r="R387" s="317"/>
      <c r="S387" s="317"/>
      <c r="T387" s="427">
        <v>0</v>
      </c>
      <c r="U387" s="428">
        <v>4</v>
      </c>
      <c r="V387" s="427">
        <v>7318828</v>
      </c>
      <c r="W387" s="429">
        <v>1750000000</v>
      </c>
      <c r="X387" s="353">
        <v>11.561</v>
      </c>
      <c r="Y387" s="376"/>
      <c r="Z387" s="376" t="s">
        <v>376</v>
      </c>
      <c r="AA387" s="429">
        <v>981750012</v>
      </c>
      <c r="AB387" s="270" t="s">
        <v>243</v>
      </c>
      <c r="AC387" s="393" t="s">
        <v>373</v>
      </c>
      <c r="AD387" s="393" t="s">
        <v>361</v>
      </c>
      <c r="AE387" s="358" t="s">
        <v>244</v>
      </c>
      <c r="AF387" s="359" t="str">
        <f t="shared" si="233"/>
        <v>CLE-385</v>
      </c>
      <c r="AG387" s="270">
        <v>80111600</v>
      </c>
      <c r="AH387" s="310" t="s">
        <v>737</v>
      </c>
      <c r="AI387" s="301" t="s">
        <v>393</v>
      </c>
      <c r="AJ387" s="301" t="s">
        <v>393</v>
      </c>
      <c r="AK387" s="302">
        <v>4</v>
      </c>
      <c r="AL387" s="303" t="s">
        <v>241</v>
      </c>
      <c r="AM387" s="304" t="s">
        <v>242</v>
      </c>
      <c r="AN387" s="305">
        <v>7318828</v>
      </c>
      <c r="AO387" s="305">
        <v>7318828</v>
      </c>
      <c r="AP387" s="303" t="s">
        <v>244</v>
      </c>
      <c r="AQ387" s="303" t="s">
        <v>245</v>
      </c>
      <c r="AR387" s="360" t="s">
        <v>246</v>
      </c>
      <c r="AS387" s="306" t="s">
        <v>247</v>
      </c>
      <c r="AT387" s="307" t="s">
        <v>372</v>
      </c>
      <c r="AU387" s="308" t="s">
        <v>741</v>
      </c>
      <c r="AV387" s="361" t="s">
        <v>249</v>
      </c>
      <c r="AW387" s="303" t="s">
        <v>244</v>
      </c>
      <c r="AX387" s="303" t="s">
        <v>361</v>
      </c>
      <c r="AY387" s="394" t="s">
        <v>250</v>
      </c>
      <c r="AZ387" s="394" t="s">
        <v>251</v>
      </c>
      <c r="BA387" s="394" t="s">
        <v>252</v>
      </c>
      <c r="BB387" s="394" t="s">
        <v>250</v>
      </c>
      <c r="BC387" s="394"/>
      <c r="BD387" s="394"/>
    </row>
    <row r="388" spans="1:56" ht="48" x14ac:dyDescent="0.2">
      <c r="A388" s="257">
        <v>386</v>
      </c>
      <c r="B388" s="299" t="s">
        <v>90</v>
      </c>
      <c r="C388" s="299" t="s">
        <v>78</v>
      </c>
      <c r="D388" s="299" t="s">
        <v>375</v>
      </c>
      <c r="E388" s="299"/>
      <c r="F388" s="350" t="s">
        <v>383</v>
      </c>
      <c r="G388" s="350" t="s">
        <v>374</v>
      </c>
      <c r="H388" s="45" t="s">
        <v>67</v>
      </c>
      <c r="I388" s="299"/>
      <c r="J388" s="309">
        <v>1967604.59259259</v>
      </c>
      <c r="K388" s="300">
        <v>12.05</v>
      </c>
      <c r="L388" s="430">
        <v>1829707</v>
      </c>
      <c r="M388" s="299">
        <v>1</v>
      </c>
      <c r="N388" s="299" t="s">
        <v>686</v>
      </c>
      <c r="O388" s="250">
        <v>45500</v>
      </c>
      <c r="P388" s="316">
        <v>45626</v>
      </c>
      <c r="Q388" s="427">
        <v>7318828</v>
      </c>
      <c r="R388" s="317"/>
      <c r="S388" s="317"/>
      <c r="T388" s="427">
        <v>0</v>
      </c>
      <c r="U388" s="428">
        <v>4</v>
      </c>
      <c r="V388" s="427">
        <v>7318828</v>
      </c>
      <c r="W388" s="429">
        <v>1750000000</v>
      </c>
      <c r="X388" s="353">
        <v>11.561</v>
      </c>
      <c r="Y388" s="376"/>
      <c r="Z388" s="376" t="s">
        <v>376</v>
      </c>
      <c r="AA388" s="429">
        <v>981750012</v>
      </c>
      <c r="AB388" s="270" t="s">
        <v>243</v>
      </c>
      <c r="AC388" s="393" t="s">
        <v>373</v>
      </c>
      <c r="AD388" s="393" t="s">
        <v>361</v>
      </c>
      <c r="AE388" s="358" t="s">
        <v>244</v>
      </c>
      <c r="AF388" s="359" t="str">
        <f t="shared" si="233"/>
        <v>CLE-386</v>
      </c>
      <c r="AG388" s="270">
        <v>80111600</v>
      </c>
      <c r="AH388" s="310" t="s">
        <v>737</v>
      </c>
      <c r="AI388" s="301" t="s">
        <v>393</v>
      </c>
      <c r="AJ388" s="301" t="s">
        <v>393</v>
      </c>
      <c r="AK388" s="302">
        <v>4</v>
      </c>
      <c r="AL388" s="303" t="s">
        <v>241</v>
      </c>
      <c r="AM388" s="304" t="s">
        <v>242</v>
      </c>
      <c r="AN388" s="305">
        <v>7318828</v>
      </c>
      <c r="AO388" s="305">
        <v>7318828</v>
      </c>
      <c r="AP388" s="303" t="s">
        <v>244</v>
      </c>
      <c r="AQ388" s="303" t="s">
        <v>245</v>
      </c>
      <c r="AR388" s="360" t="s">
        <v>246</v>
      </c>
      <c r="AS388" s="306" t="s">
        <v>247</v>
      </c>
      <c r="AT388" s="307" t="s">
        <v>372</v>
      </c>
      <c r="AU388" s="308" t="s">
        <v>741</v>
      </c>
      <c r="AV388" s="361" t="s">
        <v>249</v>
      </c>
      <c r="AW388" s="303" t="s">
        <v>244</v>
      </c>
      <c r="AX388" s="303" t="s">
        <v>361</v>
      </c>
      <c r="AY388" s="394" t="s">
        <v>250</v>
      </c>
      <c r="AZ388" s="394" t="s">
        <v>251</v>
      </c>
      <c r="BA388" s="394" t="s">
        <v>252</v>
      </c>
      <c r="BB388" s="394" t="s">
        <v>250</v>
      </c>
      <c r="BC388" s="394"/>
      <c r="BD388" s="394"/>
    </row>
    <row r="389" spans="1:56" ht="68.25" customHeight="1" x14ac:dyDescent="0.2">
      <c r="A389" s="257">
        <v>387</v>
      </c>
      <c r="B389" s="299" t="s">
        <v>63</v>
      </c>
      <c r="C389" s="299" t="s">
        <v>25</v>
      </c>
      <c r="D389" s="299" t="s">
        <v>38</v>
      </c>
      <c r="E389" s="299"/>
      <c r="F389" s="350" t="s">
        <v>39</v>
      </c>
      <c r="G389" s="350" t="s">
        <v>75</v>
      </c>
      <c r="H389" s="299" t="s">
        <v>69</v>
      </c>
      <c r="I389" s="299">
        <v>3</v>
      </c>
      <c r="J389" s="311">
        <v>1750000</v>
      </c>
      <c r="K389" s="300">
        <f t="shared" ref="K389:K391" si="236">IF(J389="",1,((L389/J389)-1))</f>
        <v>1</v>
      </c>
      <c r="L389" s="311">
        <v>3500000</v>
      </c>
      <c r="M389" s="299">
        <v>1</v>
      </c>
      <c r="N389" s="299" t="s">
        <v>485</v>
      </c>
      <c r="O389" s="250">
        <v>45505</v>
      </c>
      <c r="P389" s="377">
        <v>45626</v>
      </c>
      <c r="Q389" s="312">
        <f>L389*U389</f>
        <v>14000000</v>
      </c>
      <c r="R389" s="250"/>
      <c r="S389" s="317"/>
      <c r="T389" s="312">
        <f t="shared" ref="T389" si="237">IF($N389="MENSUAL",ROUND((((S389-R389))/30),0)*$L389,((S389-R389)/30)*$L389)</f>
        <v>0</v>
      </c>
      <c r="U389" s="318">
        <f t="shared" ref="U389:U391" si="238">ROUND((((P389-O389)+(S389-R389))/30),0)</f>
        <v>4</v>
      </c>
      <c r="V389" s="312">
        <f t="shared" ref="V389:V391" si="239">+Q389+T389</f>
        <v>14000000</v>
      </c>
      <c r="W389" s="313">
        <f>6964281*2.05</f>
        <v>14276776.049999999</v>
      </c>
      <c r="X389" s="353">
        <f>IF(W389="",1,IF(W389=0,1,((V389/W389)-1)))</f>
        <v>-1.9386453148153127E-2</v>
      </c>
      <c r="Y389" s="388"/>
      <c r="Z389" s="388"/>
      <c r="AA389" s="356">
        <f t="shared" ref="AA389:AA391" si="240">+V389</f>
        <v>14000000</v>
      </c>
      <c r="AB389" s="270" t="s">
        <v>599</v>
      </c>
      <c r="AC389" s="393" t="s">
        <v>15</v>
      </c>
      <c r="AD389" s="358" t="s">
        <v>361</v>
      </c>
      <c r="AE389" s="358" t="s">
        <v>244</v>
      </c>
      <c r="AF389" s="359" t="str">
        <f t="shared" ref="AF389:AF391" si="241">"CON-"&amp;A389</f>
        <v>CON-387</v>
      </c>
      <c r="AG389" s="270">
        <v>80111600</v>
      </c>
      <c r="AH389" s="249" t="s">
        <v>743</v>
      </c>
      <c r="AI389" s="301">
        <f t="shared" ref="AI389:AI391" si="242">+O389</f>
        <v>45505</v>
      </c>
      <c r="AJ389" s="301">
        <f t="shared" ref="AJ389:AJ391" si="243">+AI389</f>
        <v>45505</v>
      </c>
      <c r="AK389" s="302">
        <f t="shared" ref="AK389:AK391" si="244">+U389</f>
        <v>4</v>
      </c>
      <c r="AL389" s="303" t="s">
        <v>241</v>
      </c>
      <c r="AM389" s="304" t="s">
        <v>242</v>
      </c>
      <c r="AN389" s="305">
        <f t="shared" ref="AN389:AN391" si="245">+V389</f>
        <v>14000000</v>
      </c>
      <c r="AO389" s="305">
        <f t="shared" ref="AO389:AO391" si="246">+AN389</f>
        <v>14000000</v>
      </c>
      <c r="AP389" s="303" t="s">
        <v>244</v>
      </c>
      <c r="AQ389" s="303" t="s">
        <v>245</v>
      </c>
      <c r="AR389" s="360" t="s">
        <v>246</v>
      </c>
      <c r="AS389" s="306" t="s">
        <v>247</v>
      </c>
      <c r="AT389" s="307" t="s">
        <v>38</v>
      </c>
      <c r="AU389" s="308" t="s">
        <v>248</v>
      </c>
      <c r="AV389" s="361" t="s">
        <v>249</v>
      </c>
      <c r="AW389" s="303" t="s">
        <v>244</v>
      </c>
      <c r="AX389" s="303" t="s">
        <v>244</v>
      </c>
      <c r="AY389" s="362" t="s">
        <v>250</v>
      </c>
      <c r="AZ389" s="363" t="s">
        <v>251</v>
      </c>
      <c r="BA389" s="363" t="s">
        <v>252</v>
      </c>
      <c r="BB389" s="363" t="s">
        <v>250</v>
      </c>
      <c r="BC389" s="363"/>
      <c r="BD389" s="363"/>
    </row>
    <row r="390" spans="1:56" ht="81.75" customHeight="1" x14ac:dyDescent="0.2">
      <c r="A390" s="257">
        <v>388</v>
      </c>
      <c r="B390" s="299" t="s">
        <v>63</v>
      </c>
      <c r="C390" s="299" t="s">
        <v>65</v>
      </c>
      <c r="D390" s="299" t="s">
        <v>9</v>
      </c>
      <c r="E390" s="299"/>
      <c r="F390" s="350" t="s">
        <v>383</v>
      </c>
      <c r="G390" s="350" t="s">
        <v>374</v>
      </c>
      <c r="H390" s="299" t="s">
        <v>67</v>
      </c>
      <c r="I390" s="299">
        <v>4</v>
      </c>
      <c r="J390" s="251">
        <v>5500000</v>
      </c>
      <c r="K390" s="300">
        <f t="shared" ref="K390" si="247">IF(J390="",1,((L390/J390)-1))</f>
        <v>3.6363636363636376E-2</v>
      </c>
      <c r="L390" s="311">
        <f>IF(H390="OTRO",(J390*1.05),VLOOKUP((I390&amp;H390),'ESCALAS Salarios'!$D$2:$F$30,3,0))</f>
        <v>5700000</v>
      </c>
      <c r="M390" s="299">
        <v>1</v>
      </c>
      <c r="N390" s="299" t="s">
        <v>486</v>
      </c>
      <c r="O390" s="250">
        <v>45517</v>
      </c>
      <c r="P390" s="316">
        <v>45646</v>
      </c>
      <c r="Q390" s="312">
        <v>26030000</v>
      </c>
      <c r="R390" s="250"/>
      <c r="S390" s="250"/>
      <c r="T390" s="312">
        <f t="shared" ref="T390" si="248">IF($N390="MENSUAL",ROUND((((S390-R390))/30),0)*$L390,((S390-R390)/30)*$L390)</f>
        <v>0</v>
      </c>
      <c r="U390" s="318">
        <f t="shared" ref="U390" si="249">ROUND((((P390-O390)+(S390-R390))/30),0)</f>
        <v>4</v>
      </c>
      <c r="V390" s="312">
        <f t="shared" ref="V390" si="250">+Q390+T390</f>
        <v>26030000</v>
      </c>
      <c r="W390" s="313"/>
      <c r="X390" s="353">
        <f t="shared" ref="X390" si="251">IF(W390="",1,((V390/W390)-1))</f>
        <v>1</v>
      </c>
      <c r="Y390" s="372"/>
      <c r="Z390" s="373" t="s">
        <v>490</v>
      </c>
      <c r="AA390" s="356">
        <f t="shared" ref="AA390" si="252">+V390</f>
        <v>26030000</v>
      </c>
      <c r="AB390" s="270" t="s">
        <v>599</v>
      </c>
      <c r="AC390" s="393" t="s">
        <v>1</v>
      </c>
      <c r="AD390" s="358" t="s">
        <v>361</v>
      </c>
      <c r="AE390" s="358" t="s">
        <v>244</v>
      </c>
      <c r="AF390" s="359" t="str">
        <f t="shared" ref="AF390" si="253">"CON-"&amp;A390</f>
        <v>CON-388</v>
      </c>
      <c r="AG390" s="270">
        <v>80111600</v>
      </c>
      <c r="AH390" s="249" t="s">
        <v>744</v>
      </c>
      <c r="AI390" s="301">
        <f t="shared" ref="AI390" si="254">+O390</f>
        <v>45517</v>
      </c>
      <c r="AJ390" s="301">
        <f t="shared" ref="AJ390" si="255">+AI390</f>
        <v>45517</v>
      </c>
      <c r="AK390" s="302">
        <f t="shared" ref="AK390" si="256">+U390</f>
        <v>4</v>
      </c>
      <c r="AL390" s="303" t="s">
        <v>241</v>
      </c>
      <c r="AM390" s="304" t="s">
        <v>242</v>
      </c>
      <c r="AN390" s="305">
        <f t="shared" ref="AN390" si="257">+V390</f>
        <v>26030000</v>
      </c>
      <c r="AO390" s="305">
        <f t="shared" ref="AO390" si="258">+AN390</f>
        <v>26030000</v>
      </c>
      <c r="AP390" s="303" t="s">
        <v>244</v>
      </c>
      <c r="AQ390" s="303" t="s">
        <v>245</v>
      </c>
      <c r="AR390" s="360" t="s">
        <v>246</v>
      </c>
      <c r="AS390" s="306" t="s">
        <v>247</v>
      </c>
      <c r="AT390" s="307" t="str">
        <f t="shared" ref="AT390" si="259">D390</f>
        <v xml:space="preserve">OFICINA DE DESARROLLO Y PLANEACIÓN </v>
      </c>
      <c r="AU390" s="308" t="s">
        <v>248</v>
      </c>
      <c r="AV390" s="361" t="s">
        <v>249</v>
      </c>
      <c r="AW390" s="303" t="s">
        <v>244</v>
      </c>
      <c r="AX390" s="303" t="s">
        <v>244</v>
      </c>
      <c r="AY390" s="362" t="s">
        <v>250</v>
      </c>
      <c r="AZ390" s="363" t="s">
        <v>251</v>
      </c>
      <c r="BA390" s="363" t="s">
        <v>252</v>
      </c>
      <c r="BB390" s="363" t="s">
        <v>250</v>
      </c>
      <c r="BC390" s="363"/>
      <c r="BD390" s="363"/>
    </row>
    <row r="391" spans="1:56" ht="66.75" customHeight="1" x14ac:dyDescent="0.2">
      <c r="A391" s="257">
        <v>389</v>
      </c>
      <c r="B391" s="299" t="s">
        <v>63</v>
      </c>
      <c r="C391" s="299" t="s">
        <v>65</v>
      </c>
      <c r="D391" s="299" t="s">
        <v>9</v>
      </c>
      <c r="E391" s="299"/>
      <c r="F391" s="350" t="s">
        <v>383</v>
      </c>
      <c r="G391" s="350" t="s">
        <v>374</v>
      </c>
      <c r="H391" s="299" t="s">
        <v>67</v>
      </c>
      <c r="I391" s="299">
        <v>4</v>
      </c>
      <c r="J391" s="251">
        <v>5500000</v>
      </c>
      <c r="K391" s="300">
        <f t="shared" si="236"/>
        <v>3.6363636363636376E-2</v>
      </c>
      <c r="L391" s="311">
        <f>IF(H391="OTRO",(J391*1.05),VLOOKUP((I391&amp;H391),'ESCALAS Salarios'!$D$2:$F$30,3,0))</f>
        <v>5700000</v>
      </c>
      <c r="M391" s="299">
        <v>1</v>
      </c>
      <c r="N391" s="299" t="s">
        <v>486</v>
      </c>
      <c r="O391" s="250">
        <v>45517</v>
      </c>
      <c r="P391" s="316">
        <v>45646</v>
      </c>
      <c r="Q391" s="312">
        <v>26030000</v>
      </c>
      <c r="R391" s="250"/>
      <c r="S391" s="250"/>
      <c r="T391" s="312">
        <f>IF($N391="MENSUAL",ROUND((((S391-R391))/30),0)*$L391,((S391-R391)/30)*$L391)</f>
        <v>0</v>
      </c>
      <c r="U391" s="318">
        <f t="shared" si="238"/>
        <v>4</v>
      </c>
      <c r="V391" s="312">
        <f t="shared" si="239"/>
        <v>26030000</v>
      </c>
      <c r="W391" s="313"/>
      <c r="X391" s="353">
        <f t="shared" ref="X391" si="260">IF(W391="",1,((V391/W391)-1))</f>
        <v>1</v>
      </c>
      <c r="Y391" s="372"/>
      <c r="Z391" s="373" t="s">
        <v>490</v>
      </c>
      <c r="AA391" s="356">
        <f t="shared" si="240"/>
        <v>26030000</v>
      </c>
      <c r="AB391" s="270" t="s">
        <v>599</v>
      </c>
      <c r="AC391" s="393" t="s">
        <v>1</v>
      </c>
      <c r="AD391" s="358" t="s">
        <v>361</v>
      </c>
      <c r="AE391" s="358" t="s">
        <v>244</v>
      </c>
      <c r="AF391" s="359" t="str">
        <f t="shared" si="241"/>
        <v>CON-389</v>
      </c>
      <c r="AG391" s="270">
        <v>80111600</v>
      </c>
      <c r="AH391" s="249" t="s">
        <v>745</v>
      </c>
      <c r="AI391" s="301">
        <f t="shared" si="242"/>
        <v>45517</v>
      </c>
      <c r="AJ391" s="301">
        <f t="shared" si="243"/>
        <v>45517</v>
      </c>
      <c r="AK391" s="302">
        <f t="shared" si="244"/>
        <v>4</v>
      </c>
      <c r="AL391" s="303" t="s">
        <v>241</v>
      </c>
      <c r="AM391" s="304" t="s">
        <v>242</v>
      </c>
      <c r="AN391" s="305">
        <f t="shared" si="245"/>
        <v>26030000</v>
      </c>
      <c r="AO391" s="305">
        <f t="shared" si="246"/>
        <v>26030000</v>
      </c>
      <c r="AP391" s="303" t="s">
        <v>244</v>
      </c>
      <c r="AQ391" s="303" t="s">
        <v>245</v>
      </c>
      <c r="AR391" s="360" t="s">
        <v>246</v>
      </c>
      <c r="AS391" s="306" t="s">
        <v>247</v>
      </c>
      <c r="AT391" s="307" t="str">
        <f t="shared" ref="AT391" si="261">D391</f>
        <v xml:space="preserve">OFICINA DE DESARROLLO Y PLANEACIÓN </v>
      </c>
      <c r="AU391" s="308" t="s">
        <v>248</v>
      </c>
      <c r="AV391" s="361" t="s">
        <v>249</v>
      </c>
      <c r="AW391" s="303" t="s">
        <v>244</v>
      </c>
      <c r="AX391" s="303" t="s">
        <v>244</v>
      </c>
      <c r="AY391" s="362" t="s">
        <v>250</v>
      </c>
      <c r="AZ391" s="363" t="s">
        <v>251</v>
      </c>
      <c r="BA391" s="363" t="s">
        <v>252</v>
      </c>
      <c r="BB391" s="363" t="s">
        <v>250</v>
      </c>
      <c r="BC391" s="363"/>
      <c r="BD391" s="363"/>
    </row>
    <row r="392" spans="1:56" customFormat="1" ht="48" x14ac:dyDescent="0.25">
      <c r="A392" s="257">
        <v>390</v>
      </c>
      <c r="B392" s="299" t="s">
        <v>90</v>
      </c>
      <c r="C392" s="299" t="s">
        <v>78</v>
      </c>
      <c r="D392" s="299" t="s">
        <v>375</v>
      </c>
      <c r="E392" s="299"/>
      <c r="F392" s="350" t="s">
        <v>383</v>
      </c>
      <c r="G392" s="350" t="s">
        <v>374</v>
      </c>
      <c r="H392" s="45" t="s">
        <v>67</v>
      </c>
      <c r="I392" s="299"/>
      <c r="J392" s="251">
        <v>1967604.59259259</v>
      </c>
      <c r="K392" s="300">
        <v>12.05</v>
      </c>
      <c r="L392" s="311">
        <v>2165620</v>
      </c>
      <c r="M392" s="299">
        <v>1</v>
      </c>
      <c r="N392" s="299" t="s">
        <v>686</v>
      </c>
      <c r="O392" s="250">
        <v>45500</v>
      </c>
      <c r="P392" s="316">
        <v>45626</v>
      </c>
      <c r="Q392" s="312">
        <v>8662480</v>
      </c>
      <c r="R392" s="317"/>
      <c r="S392" s="317"/>
      <c r="T392" s="312">
        <v>0</v>
      </c>
      <c r="U392" s="318">
        <v>4</v>
      </c>
      <c r="V392" s="312">
        <v>8662480</v>
      </c>
      <c r="W392" s="356">
        <v>1750000000</v>
      </c>
      <c r="X392" s="353">
        <v>11.561</v>
      </c>
      <c r="Y392" s="376"/>
      <c r="Z392" s="376" t="s">
        <v>376</v>
      </c>
      <c r="AA392" s="356">
        <v>981750012</v>
      </c>
      <c r="AB392" s="270" t="s">
        <v>243</v>
      </c>
      <c r="AC392" s="393" t="s">
        <v>373</v>
      </c>
      <c r="AD392" s="393" t="s">
        <v>361</v>
      </c>
      <c r="AE392" s="358" t="s">
        <v>244</v>
      </c>
      <c r="AF392" s="359" t="str">
        <f t="shared" ref="AF392:AF412" si="262">"CLE-"&amp;A392</f>
        <v>CLE-390</v>
      </c>
      <c r="AG392" s="270">
        <v>80111612</v>
      </c>
      <c r="AH392" s="310" t="s">
        <v>737</v>
      </c>
      <c r="AI392" s="301" t="s">
        <v>393</v>
      </c>
      <c r="AJ392" s="301" t="s">
        <v>393</v>
      </c>
      <c r="AK392" s="302">
        <v>4</v>
      </c>
      <c r="AL392" s="303" t="s">
        <v>241</v>
      </c>
      <c r="AM392" s="304" t="s">
        <v>242</v>
      </c>
      <c r="AN392" s="313">
        <v>8662480</v>
      </c>
      <c r="AO392" s="313">
        <v>8662480</v>
      </c>
      <c r="AP392" s="303" t="s">
        <v>244</v>
      </c>
      <c r="AQ392" s="303" t="s">
        <v>245</v>
      </c>
      <c r="AR392" s="360" t="s">
        <v>246</v>
      </c>
      <c r="AS392" s="306" t="s">
        <v>247</v>
      </c>
      <c r="AT392" s="307" t="s">
        <v>372</v>
      </c>
      <c r="AU392" s="308" t="s">
        <v>741</v>
      </c>
      <c r="AV392" s="361" t="s">
        <v>249</v>
      </c>
      <c r="AW392" s="303" t="s">
        <v>244</v>
      </c>
      <c r="AX392" s="303" t="s">
        <v>361</v>
      </c>
      <c r="AY392" s="394" t="s">
        <v>250</v>
      </c>
      <c r="AZ392" s="394" t="s">
        <v>251</v>
      </c>
      <c r="BA392" s="394" t="s">
        <v>252</v>
      </c>
      <c r="BB392" s="394" t="s">
        <v>250</v>
      </c>
      <c r="BC392" s="394"/>
      <c r="BD392" s="394"/>
    </row>
    <row r="393" spans="1:56" customFormat="1" ht="48" x14ac:dyDescent="0.25">
      <c r="A393" s="257">
        <v>391</v>
      </c>
      <c r="B393" s="299" t="s">
        <v>90</v>
      </c>
      <c r="C393" s="299" t="s">
        <v>78</v>
      </c>
      <c r="D393" s="299" t="s">
        <v>375</v>
      </c>
      <c r="E393" s="299"/>
      <c r="F393" s="350" t="s">
        <v>383</v>
      </c>
      <c r="G393" s="350" t="s">
        <v>374</v>
      </c>
      <c r="H393" s="45" t="s">
        <v>67</v>
      </c>
      <c r="I393" s="299"/>
      <c r="J393" s="251">
        <v>1967604.59259259</v>
      </c>
      <c r="K393" s="300">
        <v>12.05</v>
      </c>
      <c r="L393" s="311">
        <v>2165620</v>
      </c>
      <c r="M393" s="299">
        <v>1</v>
      </c>
      <c r="N393" s="299" t="s">
        <v>686</v>
      </c>
      <c r="O393" s="250">
        <v>45500</v>
      </c>
      <c r="P393" s="316">
        <v>45626</v>
      </c>
      <c r="Q393" s="312">
        <v>8662480</v>
      </c>
      <c r="R393" s="317"/>
      <c r="S393" s="317"/>
      <c r="T393" s="312">
        <v>0</v>
      </c>
      <c r="U393" s="318">
        <v>4</v>
      </c>
      <c r="V393" s="312">
        <v>8662480</v>
      </c>
      <c r="W393" s="356">
        <v>1750000000</v>
      </c>
      <c r="X393" s="353">
        <v>11.561</v>
      </c>
      <c r="Y393" s="376"/>
      <c r="Z393" s="376" t="s">
        <v>376</v>
      </c>
      <c r="AA393" s="356">
        <v>981750012</v>
      </c>
      <c r="AB393" s="270" t="s">
        <v>243</v>
      </c>
      <c r="AC393" s="393" t="s">
        <v>373</v>
      </c>
      <c r="AD393" s="393" t="s">
        <v>361</v>
      </c>
      <c r="AE393" s="358" t="s">
        <v>244</v>
      </c>
      <c r="AF393" s="359" t="str">
        <f t="shared" si="262"/>
        <v>CLE-391</v>
      </c>
      <c r="AG393" s="270">
        <v>80111612</v>
      </c>
      <c r="AH393" s="310" t="s">
        <v>737</v>
      </c>
      <c r="AI393" s="301" t="s">
        <v>393</v>
      </c>
      <c r="AJ393" s="301" t="s">
        <v>393</v>
      </c>
      <c r="AK393" s="302">
        <v>4</v>
      </c>
      <c r="AL393" s="303" t="s">
        <v>241</v>
      </c>
      <c r="AM393" s="304" t="s">
        <v>242</v>
      </c>
      <c r="AN393" s="313">
        <v>8662480</v>
      </c>
      <c r="AO393" s="313">
        <v>8662480</v>
      </c>
      <c r="AP393" s="303" t="s">
        <v>244</v>
      </c>
      <c r="AQ393" s="303" t="s">
        <v>245</v>
      </c>
      <c r="AR393" s="360" t="s">
        <v>246</v>
      </c>
      <c r="AS393" s="306" t="s">
        <v>247</v>
      </c>
      <c r="AT393" s="307" t="s">
        <v>372</v>
      </c>
      <c r="AU393" s="308" t="s">
        <v>741</v>
      </c>
      <c r="AV393" s="361" t="s">
        <v>249</v>
      </c>
      <c r="AW393" s="303" t="s">
        <v>244</v>
      </c>
      <c r="AX393" s="303" t="s">
        <v>361</v>
      </c>
      <c r="AY393" s="394" t="s">
        <v>250</v>
      </c>
      <c r="AZ393" s="394" t="s">
        <v>251</v>
      </c>
      <c r="BA393" s="394" t="s">
        <v>252</v>
      </c>
      <c r="BB393" s="394" t="s">
        <v>250</v>
      </c>
      <c r="BC393" s="394"/>
      <c r="BD393" s="394"/>
    </row>
    <row r="394" spans="1:56" customFormat="1" ht="48" x14ac:dyDescent="0.25">
      <c r="A394" s="257">
        <v>392</v>
      </c>
      <c r="B394" s="299" t="s">
        <v>90</v>
      </c>
      <c r="C394" s="299" t="s">
        <v>78</v>
      </c>
      <c r="D394" s="299" t="s">
        <v>375</v>
      </c>
      <c r="E394" s="299"/>
      <c r="F394" s="350" t="s">
        <v>383</v>
      </c>
      <c r="G394" s="350" t="s">
        <v>374</v>
      </c>
      <c r="H394" s="45" t="s">
        <v>69</v>
      </c>
      <c r="I394" s="299"/>
      <c r="J394" s="251">
        <v>1967607.59259259</v>
      </c>
      <c r="K394" s="300">
        <v>15.05</v>
      </c>
      <c r="L394" s="311" t="s">
        <v>739</v>
      </c>
      <c r="M394" s="299">
        <v>1</v>
      </c>
      <c r="N394" s="299" t="s">
        <v>686</v>
      </c>
      <c r="O394" s="250">
        <v>45500</v>
      </c>
      <c r="P394" s="316">
        <v>45626</v>
      </c>
      <c r="Q394" s="312">
        <v>9865994</v>
      </c>
      <c r="R394" s="317"/>
      <c r="S394" s="317"/>
      <c r="T394" s="312">
        <v>0</v>
      </c>
      <c r="U394" s="318">
        <v>4</v>
      </c>
      <c r="V394" s="312">
        <v>9865994</v>
      </c>
      <c r="W394" s="356">
        <v>1750000000</v>
      </c>
      <c r="X394" s="353">
        <v>14.561</v>
      </c>
      <c r="Y394" s="376"/>
      <c r="Z394" s="376" t="s">
        <v>376</v>
      </c>
      <c r="AA394" s="356">
        <v>981750015</v>
      </c>
      <c r="AB394" s="270" t="s">
        <v>243</v>
      </c>
      <c r="AC394" s="393" t="s">
        <v>373</v>
      </c>
      <c r="AD394" s="393" t="s">
        <v>361</v>
      </c>
      <c r="AE394" s="358" t="s">
        <v>244</v>
      </c>
      <c r="AF394" s="359" t="str">
        <f t="shared" si="262"/>
        <v>CLE-392</v>
      </c>
      <c r="AG394" s="270">
        <v>80111615</v>
      </c>
      <c r="AH394" s="310" t="s">
        <v>737</v>
      </c>
      <c r="AI394" s="301" t="s">
        <v>393</v>
      </c>
      <c r="AJ394" s="301" t="s">
        <v>393</v>
      </c>
      <c r="AK394" s="302">
        <v>4</v>
      </c>
      <c r="AL394" s="303" t="s">
        <v>241</v>
      </c>
      <c r="AM394" s="304" t="s">
        <v>242</v>
      </c>
      <c r="AN394" s="313">
        <v>9865994</v>
      </c>
      <c r="AO394" s="313">
        <v>9865994</v>
      </c>
      <c r="AP394" s="303" t="s">
        <v>244</v>
      </c>
      <c r="AQ394" s="303" t="s">
        <v>245</v>
      </c>
      <c r="AR394" s="360" t="s">
        <v>246</v>
      </c>
      <c r="AS394" s="306" t="s">
        <v>247</v>
      </c>
      <c r="AT394" s="307" t="s">
        <v>372</v>
      </c>
      <c r="AU394" s="308" t="s">
        <v>742</v>
      </c>
      <c r="AV394" s="361" t="s">
        <v>249</v>
      </c>
      <c r="AW394" s="303" t="s">
        <v>244</v>
      </c>
      <c r="AX394" s="303" t="s">
        <v>361</v>
      </c>
      <c r="AY394" s="394" t="s">
        <v>250</v>
      </c>
      <c r="AZ394" s="394" t="s">
        <v>251</v>
      </c>
      <c r="BA394" s="394" t="s">
        <v>252</v>
      </c>
      <c r="BB394" s="394" t="s">
        <v>250</v>
      </c>
      <c r="BC394" s="394"/>
      <c r="BD394" s="394"/>
    </row>
    <row r="395" spans="1:56" customFormat="1" ht="48" x14ac:dyDescent="0.25">
      <c r="A395" s="257">
        <v>393</v>
      </c>
      <c r="B395" s="299" t="s">
        <v>90</v>
      </c>
      <c r="C395" s="299" t="s">
        <v>78</v>
      </c>
      <c r="D395" s="299" t="s">
        <v>375</v>
      </c>
      <c r="E395" s="299"/>
      <c r="F395" s="350" t="s">
        <v>383</v>
      </c>
      <c r="G395" s="350" t="s">
        <v>374</v>
      </c>
      <c r="H395" s="45" t="s">
        <v>69</v>
      </c>
      <c r="I395" s="299"/>
      <c r="J395" s="251">
        <v>1967607.59259259</v>
      </c>
      <c r="K395" s="300">
        <v>15.05</v>
      </c>
      <c r="L395" s="311" t="s">
        <v>739</v>
      </c>
      <c r="M395" s="299">
        <v>1</v>
      </c>
      <c r="N395" s="299" t="s">
        <v>686</v>
      </c>
      <c r="O395" s="250">
        <v>45500</v>
      </c>
      <c r="P395" s="316">
        <v>45626</v>
      </c>
      <c r="Q395" s="312">
        <v>12815210</v>
      </c>
      <c r="R395" s="317"/>
      <c r="S395" s="317"/>
      <c r="T395" s="312">
        <v>0</v>
      </c>
      <c r="U395" s="318">
        <v>4</v>
      </c>
      <c r="V395" s="312">
        <v>12815210</v>
      </c>
      <c r="W395" s="356">
        <v>1750000000</v>
      </c>
      <c r="X395" s="353">
        <v>14.561</v>
      </c>
      <c r="Y395" s="376"/>
      <c r="Z395" s="376" t="s">
        <v>376</v>
      </c>
      <c r="AA395" s="356">
        <v>981750015</v>
      </c>
      <c r="AB395" s="270" t="s">
        <v>243</v>
      </c>
      <c r="AC395" s="393" t="s">
        <v>373</v>
      </c>
      <c r="AD395" s="393" t="s">
        <v>361</v>
      </c>
      <c r="AE395" s="358" t="s">
        <v>244</v>
      </c>
      <c r="AF395" s="359" t="str">
        <f t="shared" si="262"/>
        <v>CLE-393</v>
      </c>
      <c r="AG395" s="270">
        <v>80111615</v>
      </c>
      <c r="AH395" s="310" t="s">
        <v>737</v>
      </c>
      <c r="AI395" s="301" t="s">
        <v>393</v>
      </c>
      <c r="AJ395" s="301" t="s">
        <v>393</v>
      </c>
      <c r="AK395" s="302">
        <v>4</v>
      </c>
      <c r="AL395" s="303" t="s">
        <v>241</v>
      </c>
      <c r="AM395" s="304" t="s">
        <v>242</v>
      </c>
      <c r="AN395" s="313">
        <v>12815210</v>
      </c>
      <c r="AO395" s="313">
        <v>12815210</v>
      </c>
      <c r="AP395" s="303" t="s">
        <v>244</v>
      </c>
      <c r="AQ395" s="303" t="s">
        <v>245</v>
      </c>
      <c r="AR395" s="360" t="s">
        <v>246</v>
      </c>
      <c r="AS395" s="306" t="s">
        <v>247</v>
      </c>
      <c r="AT395" s="307" t="s">
        <v>372</v>
      </c>
      <c r="AU395" s="308" t="s">
        <v>742</v>
      </c>
      <c r="AV395" s="361" t="s">
        <v>249</v>
      </c>
      <c r="AW395" s="303" t="s">
        <v>244</v>
      </c>
      <c r="AX395" s="303" t="s">
        <v>361</v>
      </c>
      <c r="AY395" s="394" t="s">
        <v>250</v>
      </c>
      <c r="AZ395" s="394" t="s">
        <v>251</v>
      </c>
      <c r="BA395" s="394" t="s">
        <v>252</v>
      </c>
      <c r="BB395" s="394" t="s">
        <v>250</v>
      </c>
      <c r="BC395" s="394"/>
      <c r="BD395" s="394"/>
    </row>
    <row r="396" spans="1:56" customFormat="1" ht="48" x14ac:dyDescent="0.25">
      <c r="A396" s="257">
        <v>394</v>
      </c>
      <c r="B396" s="299" t="s">
        <v>90</v>
      </c>
      <c r="C396" s="299" t="s">
        <v>78</v>
      </c>
      <c r="D396" s="299" t="s">
        <v>375</v>
      </c>
      <c r="E396" s="299"/>
      <c r="F396" s="350" t="s">
        <v>383</v>
      </c>
      <c r="G396" s="350" t="s">
        <v>374</v>
      </c>
      <c r="H396" s="45" t="s">
        <v>67</v>
      </c>
      <c r="I396" s="299"/>
      <c r="J396" s="251">
        <v>1967604.59259259</v>
      </c>
      <c r="K396" s="300">
        <v>12.05</v>
      </c>
      <c r="L396" s="311">
        <v>2389562</v>
      </c>
      <c r="M396" s="299">
        <v>1</v>
      </c>
      <c r="N396" s="299" t="s">
        <v>686</v>
      </c>
      <c r="O396" s="250">
        <v>45500</v>
      </c>
      <c r="P396" s="316">
        <v>45626</v>
      </c>
      <c r="Q396" s="312">
        <v>9558248</v>
      </c>
      <c r="R396" s="317"/>
      <c r="S396" s="317"/>
      <c r="T396" s="312">
        <v>0</v>
      </c>
      <c r="U396" s="318">
        <v>4</v>
      </c>
      <c r="V396" s="312">
        <v>9558248</v>
      </c>
      <c r="W396" s="356">
        <v>1750000000</v>
      </c>
      <c r="X396" s="353">
        <v>11.561</v>
      </c>
      <c r="Y396" s="376"/>
      <c r="Z396" s="376" t="s">
        <v>376</v>
      </c>
      <c r="AA396" s="356">
        <v>981750012</v>
      </c>
      <c r="AB396" s="270" t="s">
        <v>243</v>
      </c>
      <c r="AC396" s="393" t="s">
        <v>373</v>
      </c>
      <c r="AD396" s="393" t="s">
        <v>361</v>
      </c>
      <c r="AE396" s="358" t="s">
        <v>244</v>
      </c>
      <c r="AF396" s="359" t="str">
        <f t="shared" si="262"/>
        <v>CLE-394</v>
      </c>
      <c r="AG396" s="270">
        <v>80111612</v>
      </c>
      <c r="AH396" s="310" t="s">
        <v>737</v>
      </c>
      <c r="AI396" s="301" t="s">
        <v>393</v>
      </c>
      <c r="AJ396" s="301" t="s">
        <v>393</v>
      </c>
      <c r="AK396" s="302">
        <v>4</v>
      </c>
      <c r="AL396" s="303" t="s">
        <v>241</v>
      </c>
      <c r="AM396" s="304" t="s">
        <v>242</v>
      </c>
      <c r="AN396" s="305">
        <v>9558248</v>
      </c>
      <c r="AO396" s="305">
        <v>9558248</v>
      </c>
      <c r="AP396" s="303" t="s">
        <v>244</v>
      </c>
      <c r="AQ396" s="303" t="s">
        <v>245</v>
      </c>
      <c r="AR396" s="360" t="s">
        <v>246</v>
      </c>
      <c r="AS396" s="306" t="s">
        <v>247</v>
      </c>
      <c r="AT396" s="307" t="s">
        <v>372</v>
      </c>
      <c r="AU396" s="308" t="s">
        <v>741</v>
      </c>
      <c r="AV396" s="361" t="s">
        <v>249</v>
      </c>
      <c r="AW396" s="303" t="s">
        <v>244</v>
      </c>
      <c r="AX396" s="303" t="s">
        <v>361</v>
      </c>
      <c r="AY396" s="394" t="s">
        <v>250</v>
      </c>
      <c r="AZ396" s="394" t="s">
        <v>251</v>
      </c>
      <c r="BA396" s="394" t="s">
        <v>252</v>
      </c>
      <c r="BB396" s="394" t="s">
        <v>250</v>
      </c>
      <c r="BC396" s="394"/>
      <c r="BD396" s="394"/>
    </row>
    <row r="397" spans="1:56" customFormat="1" ht="48" x14ac:dyDescent="0.25">
      <c r="A397" s="257">
        <v>395</v>
      </c>
      <c r="B397" s="299" t="s">
        <v>90</v>
      </c>
      <c r="C397" s="299" t="s">
        <v>78</v>
      </c>
      <c r="D397" s="299" t="s">
        <v>375</v>
      </c>
      <c r="E397" s="299"/>
      <c r="F397" s="350" t="s">
        <v>383</v>
      </c>
      <c r="G397" s="350" t="s">
        <v>374</v>
      </c>
      <c r="H397" s="45" t="s">
        <v>67</v>
      </c>
      <c r="I397" s="299"/>
      <c r="J397" s="251">
        <v>1967604.59259259</v>
      </c>
      <c r="K397" s="300">
        <v>12.05</v>
      </c>
      <c r="L397" s="311">
        <v>2725476</v>
      </c>
      <c r="M397" s="299">
        <v>1</v>
      </c>
      <c r="N397" s="299" t="s">
        <v>686</v>
      </c>
      <c r="O397" s="250">
        <v>45500</v>
      </c>
      <c r="P397" s="316">
        <v>45626</v>
      </c>
      <c r="Q397" s="312">
        <v>10901904</v>
      </c>
      <c r="R397" s="317"/>
      <c r="S397" s="317"/>
      <c r="T397" s="312">
        <v>0</v>
      </c>
      <c r="U397" s="318">
        <v>4</v>
      </c>
      <c r="V397" s="312">
        <v>10901904</v>
      </c>
      <c r="W397" s="356">
        <v>1750000000</v>
      </c>
      <c r="X397" s="353">
        <v>11.561</v>
      </c>
      <c r="Y397" s="376"/>
      <c r="Z397" s="376" t="s">
        <v>376</v>
      </c>
      <c r="AA397" s="356">
        <v>981750012</v>
      </c>
      <c r="AB397" s="270" t="s">
        <v>243</v>
      </c>
      <c r="AC397" s="393" t="s">
        <v>373</v>
      </c>
      <c r="AD397" s="393" t="s">
        <v>361</v>
      </c>
      <c r="AE397" s="358" t="s">
        <v>244</v>
      </c>
      <c r="AF397" s="359" t="str">
        <f t="shared" si="262"/>
        <v>CLE-395</v>
      </c>
      <c r="AG397" s="270">
        <v>80111612</v>
      </c>
      <c r="AH397" s="310" t="s">
        <v>737</v>
      </c>
      <c r="AI397" s="301" t="s">
        <v>393</v>
      </c>
      <c r="AJ397" s="301" t="s">
        <v>393</v>
      </c>
      <c r="AK397" s="302">
        <v>4</v>
      </c>
      <c r="AL397" s="303" t="s">
        <v>241</v>
      </c>
      <c r="AM397" s="304" t="s">
        <v>242</v>
      </c>
      <c r="AN397" s="305">
        <v>10901904</v>
      </c>
      <c r="AO397" s="305">
        <v>10901904</v>
      </c>
      <c r="AP397" s="303" t="s">
        <v>244</v>
      </c>
      <c r="AQ397" s="303" t="s">
        <v>245</v>
      </c>
      <c r="AR397" s="360" t="s">
        <v>246</v>
      </c>
      <c r="AS397" s="306" t="s">
        <v>247</v>
      </c>
      <c r="AT397" s="307" t="s">
        <v>372</v>
      </c>
      <c r="AU397" s="308" t="s">
        <v>741</v>
      </c>
      <c r="AV397" s="361" t="s">
        <v>249</v>
      </c>
      <c r="AW397" s="303" t="s">
        <v>244</v>
      </c>
      <c r="AX397" s="303" t="s">
        <v>361</v>
      </c>
      <c r="AY397" s="394" t="s">
        <v>250</v>
      </c>
      <c r="AZ397" s="394" t="s">
        <v>251</v>
      </c>
      <c r="BA397" s="394" t="s">
        <v>252</v>
      </c>
      <c r="BB397" s="394" t="s">
        <v>250</v>
      </c>
      <c r="BC397" s="394"/>
      <c r="BD397" s="394"/>
    </row>
    <row r="398" spans="1:56" customFormat="1" ht="48" x14ac:dyDescent="0.25">
      <c r="A398" s="257">
        <v>396</v>
      </c>
      <c r="B398" s="299" t="s">
        <v>90</v>
      </c>
      <c r="C398" s="299" t="s">
        <v>78</v>
      </c>
      <c r="D398" s="299" t="s">
        <v>375</v>
      </c>
      <c r="E398" s="299"/>
      <c r="F398" s="350" t="s">
        <v>383</v>
      </c>
      <c r="G398" s="350" t="s">
        <v>374</v>
      </c>
      <c r="H398" s="45" t="s">
        <v>69</v>
      </c>
      <c r="I398" s="299"/>
      <c r="J398" s="251">
        <v>1967607.59259259</v>
      </c>
      <c r="K398" s="300">
        <v>15.05</v>
      </c>
      <c r="L398" s="311">
        <v>1245920</v>
      </c>
      <c r="M398" s="299">
        <v>1</v>
      </c>
      <c r="N398" s="299" t="s">
        <v>686</v>
      </c>
      <c r="O398" s="250">
        <v>45500</v>
      </c>
      <c r="P398" s="316">
        <v>45626</v>
      </c>
      <c r="Q398" s="312">
        <v>4983680</v>
      </c>
      <c r="R398" s="317"/>
      <c r="S398" s="317"/>
      <c r="T398" s="312">
        <v>0</v>
      </c>
      <c r="U398" s="318">
        <v>4</v>
      </c>
      <c r="V398" s="312">
        <v>4983680</v>
      </c>
      <c r="W398" s="356">
        <v>1750000000</v>
      </c>
      <c r="X398" s="353">
        <v>14.561</v>
      </c>
      <c r="Y398" s="376"/>
      <c r="Z398" s="376" t="s">
        <v>376</v>
      </c>
      <c r="AA398" s="356">
        <v>981750015</v>
      </c>
      <c r="AB398" s="270" t="s">
        <v>243</v>
      </c>
      <c r="AC398" s="393" t="s">
        <v>373</v>
      </c>
      <c r="AD398" s="393" t="s">
        <v>361</v>
      </c>
      <c r="AE398" s="358" t="s">
        <v>244</v>
      </c>
      <c r="AF398" s="359" t="str">
        <f t="shared" si="262"/>
        <v>CLE-396</v>
      </c>
      <c r="AG398" s="270">
        <v>80111615</v>
      </c>
      <c r="AH398" s="310" t="s">
        <v>737</v>
      </c>
      <c r="AI398" s="301" t="s">
        <v>393</v>
      </c>
      <c r="AJ398" s="301" t="s">
        <v>393</v>
      </c>
      <c r="AK398" s="302">
        <v>4</v>
      </c>
      <c r="AL398" s="303" t="s">
        <v>241</v>
      </c>
      <c r="AM398" s="304" t="s">
        <v>242</v>
      </c>
      <c r="AN398" s="305">
        <v>4983680</v>
      </c>
      <c r="AO398" s="305">
        <v>4983680</v>
      </c>
      <c r="AP398" s="303" t="s">
        <v>244</v>
      </c>
      <c r="AQ398" s="303" t="s">
        <v>245</v>
      </c>
      <c r="AR398" s="360" t="s">
        <v>246</v>
      </c>
      <c r="AS398" s="306" t="s">
        <v>247</v>
      </c>
      <c r="AT398" s="307" t="s">
        <v>372</v>
      </c>
      <c r="AU398" s="308" t="s">
        <v>742</v>
      </c>
      <c r="AV398" s="361" t="s">
        <v>249</v>
      </c>
      <c r="AW398" s="303" t="s">
        <v>244</v>
      </c>
      <c r="AX398" s="303" t="s">
        <v>361</v>
      </c>
      <c r="AY398" s="394" t="s">
        <v>250</v>
      </c>
      <c r="AZ398" s="394" t="s">
        <v>251</v>
      </c>
      <c r="BA398" s="394" t="s">
        <v>252</v>
      </c>
      <c r="BB398" s="394" t="s">
        <v>250</v>
      </c>
      <c r="BC398" s="394"/>
      <c r="BD398" s="394"/>
    </row>
    <row r="399" spans="1:56" customFormat="1" ht="48" x14ac:dyDescent="0.25">
      <c r="A399" s="257">
        <v>397</v>
      </c>
      <c r="B399" s="299" t="s">
        <v>90</v>
      </c>
      <c r="C399" s="299" t="s">
        <v>78</v>
      </c>
      <c r="D399" s="299" t="s">
        <v>375</v>
      </c>
      <c r="E399" s="299"/>
      <c r="F399" s="350" t="s">
        <v>383</v>
      </c>
      <c r="G399" s="350" t="s">
        <v>374</v>
      </c>
      <c r="H399" s="45" t="s">
        <v>69</v>
      </c>
      <c r="I399" s="299"/>
      <c r="J399" s="251">
        <v>1967592.5925925926</v>
      </c>
      <c r="K399" s="300">
        <v>5.0000000000000044E-2</v>
      </c>
      <c r="L399" s="311">
        <f t="shared" ref="L399" si="263">Q399/U399</f>
        <v>3349850</v>
      </c>
      <c r="M399" s="299">
        <v>1</v>
      </c>
      <c r="N399" s="299" t="s">
        <v>686</v>
      </c>
      <c r="O399" s="250">
        <v>45500</v>
      </c>
      <c r="P399" s="316">
        <v>45626</v>
      </c>
      <c r="Q399" s="312">
        <v>13399400</v>
      </c>
      <c r="R399" s="317"/>
      <c r="S399" s="317"/>
      <c r="T399" s="312">
        <v>0</v>
      </c>
      <c r="U399" s="318">
        <v>4</v>
      </c>
      <c r="V399" s="312">
        <v>13399400</v>
      </c>
      <c r="W399" s="356">
        <v>1750000000</v>
      </c>
      <c r="X399" s="353">
        <v>-0.43899999999999995</v>
      </c>
      <c r="Y399" s="376"/>
      <c r="Z399" s="376" t="s">
        <v>376</v>
      </c>
      <c r="AA399" s="356">
        <v>981750000</v>
      </c>
      <c r="AB399" s="270" t="s">
        <v>243</v>
      </c>
      <c r="AC399" s="393" t="s">
        <v>373</v>
      </c>
      <c r="AD399" s="393" t="s">
        <v>361</v>
      </c>
      <c r="AE399" s="358" t="s">
        <v>244</v>
      </c>
      <c r="AF399" s="359" t="str">
        <f t="shared" si="262"/>
        <v>CLE-397</v>
      </c>
      <c r="AG399" s="270">
        <v>80111600</v>
      </c>
      <c r="AH399" s="310" t="s">
        <v>737</v>
      </c>
      <c r="AI399" s="301" t="s">
        <v>393</v>
      </c>
      <c r="AJ399" s="301" t="s">
        <v>393</v>
      </c>
      <c r="AK399" s="302">
        <v>4</v>
      </c>
      <c r="AL399" s="303" t="s">
        <v>241</v>
      </c>
      <c r="AM399" s="304" t="s">
        <v>242</v>
      </c>
      <c r="AN399" s="305">
        <v>13399400</v>
      </c>
      <c r="AO399" s="305">
        <v>13399400</v>
      </c>
      <c r="AP399" s="303" t="s">
        <v>244</v>
      </c>
      <c r="AQ399" s="303" t="s">
        <v>245</v>
      </c>
      <c r="AR399" s="360" t="s">
        <v>246</v>
      </c>
      <c r="AS399" s="306" t="s">
        <v>247</v>
      </c>
      <c r="AT399" s="307" t="s">
        <v>372</v>
      </c>
      <c r="AU399" s="308" t="s">
        <v>248</v>
      </c>
      <c r="AV399" s="361" t="s">
        <v>249</v>
      </c>
      <c r="AW399" s="303" t="s">
        <v>244</v>
      </c>
      <c r="AX399" s="303" t="s">
        <v>361</v>
      </c>
      <c r="AY399" s="394" t="s">
        <v>250</v>
      </c>
      <c r="AZ399" s="394" t="s">
        <v>251</v>
      </c>
      <c r="BA399" s="394" t="s">
        <v>252</v>
      </c>
      <c r="BB399" s="394" t="s">
        <v>250</v>
      </c>
      <c r="BC399" s="394"/>
      <c r="BD399" s="394"/>
    </row>
    <row r="400" spans="1:56" customFormat="1" ht="48" x14ac:dyDescent="0.25">
      <c r="A400" s="257">
        <v>398</v>
      </c>
      <c r="B400" s="299" t="s">
        <v>90</v>
      </c>
      <c r="C400" s="299" t="s">
        <v>78</v>
      </c>
      <c r="D400" s="299" t="s">
        <v>375</v>
      </c>
      <c r="E400" s="299"/>
      <c r="F400" s="350" t="s">
        <v>383</v>
      </c>
      <c r="G400" s="350" t="s">
        <v>374</v>
      </c>
      <c r="H400" s="45" t="s">
        <v>67</v>
      </c>
      <c r="I400" s="299"/>
      <c r="J400" s="251">
        <v>1967604.59259259</v>
      </c>
      <c r="K400" s="300">
        <v>12.05</v>
      </c>
      <c r="L400" s="311" t="s">
        <v>739</v>
      </c>
      <c r="M400" s="299">
        <v>1</v>
      </c>
      <c r="N400" s="299" t="s">
        <v>686</v>
      </c>
      <c r="O400" s="250">
        <v>45500</v>
      </c>
      <c r="P400" s="316">
        <v>45626</v>
      </c>
      <c r="Q400" s="312">
        <v>18474456</v>
      </c>
      <c r="R400" s="317"/>
      <c r="S400" s="317"/>
      <c r="T400" s="312">
        <v>0</v>
      </c>
      <c r="U400" s="318">
        <v>4</v>
      </c>
      <c r="V400" s="312">
        <v>18474456</v>
      </c>
      <c r="W400" s="356">
        <v>1750000000</v>
      </c>
      <c r="X400" s="353">
        <v>11.561</v>
      </c>
      <c r="Y400" s="376"/>
      <c r="Z400" s="376" t="s">
        <v>376</v>
      </c>
      <c r="AA400" s="356">
        <v>981750012</v>
      </c>
      <c r="AB400" s="270" t="s">
        <v>243</v>
      </c>
      <c r="AC400" s="393" t="s">
        <v>373</v>
      </c>
      <c r="AD400" s="393" t="s">
        <v>361</v>
      </c>
      <c r="AE400" s="358" t="s">
        <v>244</v>
      </c>
      <c r="AF400" s="359" t="str">
        <f t="shared" si="262"/>
        <v>CLE-398</v>
      </c>
      <c r="AG400" s="270">
        <v>80111612</v>
      </c>
      <c r="AH400" s="310" t="s">
        <v>737</v>
      </c>
      <c r="AI400" s="301" t="s">
        <v>393</v>
      </c>
      <c r="AJ400" s="301" t="s">
        <v>393</v>
      </c>
      <c r="AK400" s="302">
        <v>4</v>
      </c>
      <c r="AL400" s="303" t="s">
        <v>241</v>
      </c>
      <c r="AM400" s="304" t="s">
        <v>242</v>
      </c>
      <c r="AN400" s="313">
        <v>18474456</v>
      </c>
      <c r="AO400" s="313">
        <v>18474456</v>
      </c>
      <c r="AP400" s="303" t="s">
        <v>244</v>
      </c>
      <c r="AQ400" s="303" t="s">
        <v>245</v>
      </c>
      <c r="AR400" s="360" t="s">
        <v>246</v>
      </c>
      <c r="AS400" s="306" t="s">
        <v>247</v>
      </c>
      <c r="AT400" s="307" t="s">
        <v>372</v>
      </c>
      <c r="AU400" s="308" t="s">
        <v>741</v>
      </c>
      <c r="AV400" s="361" t="s">
        <v>249</v>
      </c>
      <c r="AW400" s="303" t="s">
        <v>244</v>
      </c>
      <c r="AX400" s="303" t="s">
        <v>361</v>
      </c>
      <c r="AY400" s="394" t="s">
        <v>250</v>
      </c>
      <c r="AZ400" s="394" t="s">
        <v>251</v>
      </c>
      <c r="BA400" s="394" t="s">
        <v>252</v>
      </c>
      <c r="BB400" s="394" t="s">
        <v>250</v>
      </c>
      <c r="BC400" s="394"/>
      <c r="BD400" s="394"/>
    </row>
    <row r="401" spans="1:56" customFormat="1" ht="48" x14ac:dyDescent="0.25">
      <c r="A401" s="257">
        <v>399</v>
      </c>
      <c r="B401" s="299" t="s">
        <v>90</v>
      </c>
      <c r="C401" s="299" t="s">
        <v>78</v>
      </c>
      <c r="D401" s="299" t="s">
        <v>375</v>
      </c>
      <c r="E401" s="299"/>
      <c r="F401" s="350" t="s">
        <v>383</v>
      </c>
      <c r="G401" s="350" t="s">
        <v>374</v>
      </c>
      <c r="H401" s="45" t="s">
        <v>69</v>
      </c>
      <c r="I401" s="299"/>
      <c r="J401" s="251">
        <v>1967607.59259259</v>
      </c>
      <c r="K401" s="300">
        <v>15.05</v>
      </c>
      <c r="L401" s="311" t="s">
        <v>739</v>
      </c>
      <c r="M401" s="299">
        <v>1</v>
      </c>
      <c r="N401" s="299" t="s">
        <v>686</v>
      </c>
      <c r="O401" s="250">
        <v>45500</v>
      </c>
      <c r="P401" s="316">
        <v>45626</v>
      </c>
      <c r="Q401" s="312">
        <v>12815210</v>
      </c>
      <c r="R401" s="317"/>
      <c r="S401" s="317"/>
      <c r="T401" s="312">
        <v>0</v>
      </c>
      <c r="U401" s="318">
        <v>4</v>
      </c>
      <c r="V401" s="312">
        <v>12815210</v>
      </c>
      <c r="W401" s="356">
        <v>1750000000</v>
      </c>
      <c r="X401" s="353">
        <v>14.561</v>
      </c>
      <c r="Y401" s="376"/>
      <c r="Z401" s="376" t="s">
        <v>376</v>
      </c>
      <c r="AA401" s="356">
        <v>981750015</v>
      </c>
      <c r="AB401" s="270" t="s">
        <v>243</v>
      </c>
      <c r="AC401" s="393" t="s">
        <v>373</v>
      </c>
      <c r="AD401" s="393" t="s">
        <v>361</v>
      </c>
      <c r="AE401" s="358" t="s">
        <v>244</v>
      </c>
      <c r="AF401" s="359" t="str">
        <f t="shared" si="262"/>
        <v>CLE-399</v>
      </c>
      <c r="AG401" s="270">
        <v>80111615</v>
      </c>
      <c r="AH401" s="310" t="s">
        <v>737</v>
      </c>
      <c r="AI401" s="301" t="s">
        <v>393</v>
      </c>
      <c r="AJ401" s="301" t="s">
        <v>393</v>
      </c>
      <c r="AK401" s="302">
        <v>4</v>
      </c>
      <c r="AL401" s="303" t="s">
        <v>241</v>
      </c>
      <c r="AM401" s="304" t="s">
        <v>242</v>
      </c>
      <c r="AN401" s="305">
        <v>12815210</v>
      </c>
      <c r="AO401" s="305">
        <v>12815210</v>
      </c>
      <c r="AP401" s="303" t="s">
        <v>244</v>
      </c>
      <c r="AQ401" s="303" t="s">
        <v>245</v>
      </c>
      <c r="AR401" s="360" t="s">
        <v>246</v>
      </c>
      <c r="AS401" s="306" t="s">
        <v>247</v>
      </c>
      <c r="AT401" s="307" t="s">
        <v>372</v>
      </c>
      <c r="AU401" s="308" t="s">
        <v>742</v>
      </c>
      <c r="AV401" s="361" t="s">
        <v>249</v>
      </c>
      <c r="AW401" s="303" t="s">
        <v>244</v>
      </c>
      <c r="AX401" s="303" t="s">
        <v>361</v>
      </c>
      <c r="AY401" s="394" t="s">
        <v>250</v>
      </c>
      <c r="AZ401" s="394" t="s">
        <v>251</v>
      </c>
      <c r="BA401" s="394" t="s">
        <v>252</v>
      </c>
      <c r="BB401" s="394" t="s">
        <v>250</v>
      </c>
      <c r="BC401" s="394"/>
      <c r="BD401" s="394"/>
    </row>
    <row r="402" spans="1:56" customFormat="1" ht="48" x14ac:dyDescent="0.25">
      <c r="A402" s="257">
        <v>400</v>
      </c>
      <c r="B402" s="299" t="s">
        <v>90</v>
      </c>
      <c r="C402" s="299" t="s">
        <v>78</v>
      </c>
      <c r="D402" s="299" t="s">
        <v>375</v>
      </c>
      <c r="E402" s="299"/>
      <c r="F402" s="350" t="s">
        <v>383</v>
      </c>
      <c r="G402" s="350" t="s">
        <v>374</v>
      </c>
      <c r="H402" s="45" t="s">
        <v>69</v>
      </c>
      <c r="I402" s="299"/>
      <c r="J402" s="251">
        <v>1967608.59259259</v>
      </c>
      <c r="K402" s="300">
        <v>15.05</v>
      </c>
      <c r="L402" s="311">
        <v>2902419</v>
      </c>
      <c r="M402" s="299">
        <v>1</v>
      </c>
      <c r="N402" s="299" t="s">
        <v>686</v>
      </c>
      <c r="O402" s="250">
        <v>45500</v>
      </c>
      <c r="P402" s="316">
        <v>45626</v>
      </c>
      <c r="Q402" s="312">
        <v>11609676</v>
      </c>
      <c r="R402" s="317"/>
      <c r="S402" s="317"/>
      <c r="T402" s="312">
        <v>0</v>
      </c>
      <c r="U402" s="318">
        <v>5</v>
      </c>
      <c r="V402" s="312">
        <v>11609676</v>
      </c>
      <c r="W402" s="356">
        <v>1750000000</v>
      </c>
      <c r="X402" s="353">
        <v>15.561</v>
      </c>
      <c r="Y402" s="376"/>
      <c r="Z402" s="376" t="s">
        <v>376</v>
      </c>
      <c r="AA402" s="356">
        <v>981750016</v>
      </c>
      <c r="AB402" s="270" t="s">
        <v>243</v>
      </c>
      <c r="AC402" s="393" t="s">
        <v>373</v>
      </c>
      <c r="AD402" s="393" t="s">
        <v>361</v>
      </c>
      <c r="AE402" s="358" t="s">
        <v>244</v>
      </c>
      <c r="AF402" s="359" t="str">
        <f t="shared" si="262"/>
        <v>CLE-400</v>
      </c>
      <c r="AG402" s="270">
        <v>80111616</v>
      </c>
      <c r="AH402" s="310" t="s">
        <v>737</v>
      </c>
      <c r="AI402" s="301" t="s">
        <v>393</v>
      </c>
      <c r="AJ402" s="301" t="s">
        <v>393</v>
      </c>
      <c r="AK402" s="302">
        <v>5</v>
      </c>
      <c r="AL402" s="303" t="s">
        <v>241</v>
      </c>
      <c r="AM402" s="304" t="s">
        <v>242</v>
      </c>
      <c r="AN402" s="305">
        <v>11609676</v>
      </c>
      <c r="AO402" s="305">
        <v>11609676</v>
      </c>
      <c r="AP402" s="303" t="s">
        <v>244</v>
      </c>
      <c r="AQ402" s="303" t="s">
        <v>245</v>
      </c>
      <c r="AR402" s="360" t="s">
        <v>246</v>
      </c>
      <c r="AS402" s="306" t="s">
        <v>247</v>
      </c>
      <c r="AT402" s="307" t="s">
        <v>372</v>
      </c>
      <c r="AU402" s="308" t="s">
        <v>746</v>
      </c>
      <c r="AV402" s="361" t="s">
        <v>249</v>
      </c>
      <c r="AW402" s="303" t="s">
        <v>244</v>
      </c>
      <c r="AX402" s="303" t="s">
        <v>361</v>
      </c>
      <c r="AY402" s="394" t="s">
        <v>250</v>
      </c>
      <c r="AZ402" s="394" t="s">
        <v>251</v>
      </c>
      <c r="BA402" s="394" t="s">
        <v>252</v>
      </c>
      <c r="BB402" s="394" t="s">
        <v>250</v>
      </c>
      <c r="BC402" s="394"/>
      <c r="BD402" s="394"/>
    </row>
    <row r="403" spans="1:56" customFormat="1" ht="48" x14ac:dyDescent="0.25">
      <c r="A403" s="257">
        <v>401</v>
      </c>
      <c r="B403" s="299" t="s">
        <v>90</v>
      </c>
      <c r="C403" s="299" t="s">
        <v>78</v>
      </c>
      <c r="D403" s="299" t="s">
        <v>375</v>
      </c>
      <c r="E403" s="299"/>
      <c r="F403" s="350" t="s">
        <v>383</v>
      </c>
      <c r="G403" s="350" t="s">
        <v>374</v>
      </c>
      <c r="H403" s="45" t="s">
        <v>69</v>
      </c>
      <c r="I403" s="299"/>
      <c r="J403" s="251">
        <v>1967609.59259259</v>
      </c>
      <c r="K403" s="300">
        <v>15.05</v>
      </c>
      <c r="L403" s="311">
        <v>3941107</v>
      </c>
      <c r="M403" s="299">
        <v>1</v>
      </c>
      <c r="N403" s="299" t="s">
        <v>686</v>
      </c>
      <c r="O403" s="250">
        <v>45500</v>
      </c>
      <c r="P403" s="316">
        <v>45626</v>
      </c>
      <c r="Q403" s="312">
        <v>15764428</v>
      </c>
      <c r="R403" s="317"/>
      <c r="S403" s="317"/>
      <c r="T403" s="312">
        <v>0</v>
      </c>
      <c r="U403" s="318">
        <v>6</v>
      </c>
      <c r="V403" s="312">
        <v>15764428</v>
      </c>
      <c r="W403" s="356">
        <v>1750000000</v>
      </c>
      <c r="X403" s="353">
        <v>16.561</v>
      </c>
      <c r="Y403" s="376"/>
      <c r="Z403" s="376" t="s">
        <v>376</v>
      </c>
      <c r="AA403" s="356">
        <v>981750017</v>
      </c>
      <c r="AB403" s="270" t="s">
        <v>243</v>
      </c>
      <c r="AC403" s="393" t="s">
        <v>373</v>
      </c>
      <c r="AD403" s="393" t="s">
        <v>361</v>
      </c>
      <c r="AE403" s="358" t="s">
        <v>244</v>
      </c>
      <c r="AF403" s="359" t="str">
        <f t="shared" si="262"/>
        <v>CLE-401</v>
      </c>
      <c r="AG403" s="270">
        <v>80111617</v>
      </c>
      <c r="AH403" s="310" t="s">
        <v>737</v>
      </c>
      <c r="AI403" s="301" t="s">
        <v>393</v>
      </c>
      <c r="AJ403" s="301" t="s">
        <v>393</v>
      </c>
      <c r="AK403" s="302">
        <v>6</v>
      </c>
      <c r="AL403" s="303" t="s">
        <v>241</v>
      </c>
      <c r="AM403" s="304" t="s">
        <v>242</v>
      </c>
      <c r="AN403" s="305">
        <v>15764428</v>
      </c>
      <c r="AO403" s="305">
        <v>15764428</v>
      </c>
      <c r="AP403" s="303" t="s">
        <v>244</v>
      </c>
      <c r="AQ403" s="303" t="s">
        <v>245</v>
      </c>
      <c r="AR403" s="360" t="s">
        <v>246</v>
      </c>
      <c r="AS403" s="306" t="s">
        <v>247</v>
      </c>
      <c r="AT403" s="307" t="s">
        <v>372</v>
      </c>
      <c r="AU403" s="308" t="s">
        <v>747</v>
      </c>
      <c r="AV403" s="361" t="s">
        <v>249</v>
      </c>
      <c r="AW403" s="303" t="s">
        <v>244</v>
      </c>
      <c r="AX403" s="303" t="s">
        <v>361</v>
      </c>
      <c r="AY403" s="394" t="s">
        <v>250</v>
      </c>
      <c r="AZ403" s="394" t="s">
        <v>251</v>
      </c>
      <c r="BA403" s="394" t="s">
        <v>252</v>
      </c>
      <c r="BB403" s="394" t="s">
        <v>250</v>
      </c>
      <c r="BC403" s="394"/>
      <c r="BD403" s="394"/>
    </row>
    <row r="404" spans="1:56" customFormat="1" ht="48" x14ac:dyDescent="0.25">
      <c r="A404" s="257">
        <v>402</v>
      </c>
      <c r="B404" s="299" t="s">
        <v>90</v>
      </c>
      <c r="C404" s="299" t="s">
        <v>78</v>
      </c>
      <c r="D404" s="299" t="s">
        <v>375</v>
      </c>
      <c r="E404" s="299"/>
      <c r="F404" s="350" t="s">
        <v>383</v>
      </c>
      <c r="G404" s="350" t="s">
        <v>374</v>
      </c>
      <c r="H404" s="45" t="s">
        <v>69</v>
      </c>
      <c r="I404" s="299"/>
      <c r="J404" s="251">
        <v>1967592.5925925926</v>
      </c>
      <c r="K404" s="300">
        <v>5.0000000000000044E-2</v>
      </c>
      <c r="L404" s="311">
        <f t="shared" ref="L404:L412" si="264">Q404/U404</f>
        <v>1071552</v>
      </c>
      <c r="M404" s="299">
        <v>1</v>
      </c>
      <c r="N404" s="299" t="s">
        <v>686</v>
      </c>
      <c r="O404" s="250">
        <v>45500</v>
      </c>
      <c r="P404" s="316">
        <v>45626</v>
      </c>
      <c r="Q404" s="312">
        <v>4286208</v>
      </c>
      <c r="R404" s="317"/>
      <c r="S404" s="317"/>
      <c r="T404" s="312">
        <v>0</v>
      </c>
      <c r="U404" s="318">
        <v>4</v>
      </c>
      <c r="V404" s="312">
        <v>4286208</v>
      </c>
      <c r="W404" s="356">
        <v>1750000000</v>
      </c>
      <c r="X404" s="353">
        <v>-0.43899999999999995</v>
      </c>
      <c r="Y404" s="376"/>
      <c r="Z404" s="376" t="s">
        <v>376</v>
      </c>
      <c r="AA404" s="356">
        <v>981750000</v>
      </c>
      <c r="AB404" s="270" t="s">
        <v>243</v>
      </c>
      <c r="AC404" s="393" t="s">
        <v>373</v>
      </c>
      <c r="AD404" s="393" t="s">
        <v>361</v>
      </c>
      <c r="AE404" s="358" t="s">
        <v>244</v>
      </c>
      <c r="AF404" s="359" t="str">
        <f t="shared" si="262"/>
        <v>CLE-402</v>
      </c>
      <c r="AG404" s="270">
        <v>80111600</v>
      </c>
      <c r="AH404" s="310" t="s">
        <v>737</v>
      </c>
      <c r="AI404" s="301" t="s">
        <v>393</v>
      </c>
      <c r="AJ404" s="301" t="s">
        <v>393</v>
      </c>
      <c r="AK404" s="302">
        <v>4</v>
      </c>
      <c r="AL404" s="303" t="s">
        <v>241</v>
      </c>
      <c r="AM404" s="304" t="s">
        <v>242</v>
      </c>
      <c r="AN404" s="305">
        <v>4286208</v>
      </c>
      <c r="AO404" s="305">
        <v>4286208</v>
      </c>
      <c r="AP404" s="303" t="s">
        <v>244</v>
      </c>
      <c r="AQ404" s="303" t="s">
        <v>245</v>
      </c>
      <c r="AR404" s="360" t="s">
        <v>246</v>
      </c>
      <c r="AS404" s="306" t="s">
        <v>247</v>
      </c>
      <c r="AT404" s="307" t="s">
        <v>372</v>
      </c>
      <c r="AU404" s="308" t="s">
        <v>248</v>
      </c>
      <c r="AV404" s="361" t="s">
        <v>249</v>
      </c>
      <c r="AW404" s="303" t="s">
        <v>244</v>
      </c>
      <c r="AX404" s="303" t="s">
        <v>361</v>
      </c>
      <c r="AY404" s="394" t="s">
        <v>250</v>
      </c>
      <c r="AZ404" s="394" t="s">
        <v>251</v>
      </c>
      <c r="BA404" s="394" t="s">
        <v>252</v>
      </c>
      <c r="BB404" s="394" t="s">
        <v>250</v>
      </c>
      <c r="BC404" s="394"/>
      <c r="BD404" s="394"/>
    </row>
    <row r="405" spans="1:56" customFormat="1" ht="48" x14ac:dyDescent="0.25">
      <c r="A405" s="257">
        <v>403</v>
      </c>
      <c r="B405" s="299" t="s">
        <v>90</v>
      </c>
      <c r="C405" s="299" t="s">
        <v>78</v>
      </c>
      <c r="D405" s="299" t="s">
        <v>375</v>
      </c>
      <c r="E405" s="299"/>
      <c r="F405" s="350" t="s">
        <v>383</v>
      </c>
      <c r="G405" s="350" t="s">
        <v>374</v>
      </c>
      <c r="H405" s="45" t="s">
        <v>69</v>
      </c>
      <c r="I405" s="299"/>
      <c r="J405" s="251">
        <v>1967592.5925925926</v>
      </c>
      <c r="K405" s="300">
        <v>5.0000000000000044E-2</v>
      </c>
      <c r="L405" s="311">
        <f t="shared" si="264"/>
        <v>1071552</v>
      </c>
      <c r="M405" s="299">
        <v>1</v>
      </c>
      <c r="N405" s="299" t="s">
        <v>686</v>
      </c>
      <c r="O405" s="250">
        <v>45500</v>
      </c>
      <c r="P405" s="316">
        <v>45626</v>
      </c>
      <c r="Q405" s="312">
        <v>4286208</v>
      </c>
      <c r="R405" s="317"/>
      <c r="S405" s="317"/>
      <c r="T405" s="312">
        <v>0</v>
      </c>
      <c r="U405" s="318">
        <v>4</v>
      </c>
      <c r="V405" s="312">
        <v>4286208</v>
      </c>
      <c r="W405" s="356">
        <v>1750000000</v>
      </c>
      <c r="X405" s="353">
        <v>-0.43899999999999995</v>
      </c>
      <c r="Y405" s="376"/>
      <c r="Z405" s="376" t="s">
        <v>376</v>
      </c>
      <c r="AA405" s="356">
        <v>981750000</v>
      </c>
      <c r="AB405" s="270" t="s">
        <v>243</v>
      </c>
      <c r="AC405" s="393" t="s">
        <v>373</v>
      </c>
      <c r="AD405" s="393" t="s">
        <v>361</v>
      </c>
      <c r="AE405" s="358" t="s">
        <v>244</v>
      </c>
      <c r="AF405" s="359" t="str">
        <f t="shared" si="262"/>
        <v>CLE-403</v>
      </c>
      <c r="AG405" s="270">
        <v>80111600</v>
      </c>
      <c r="AH405" s="310" t="s">
        <v>737</v>
      </c>
      <c r="AI405" s="301" t="s">
        <v>393</v>
      </c>
      <c r="AJ405" s="301" t="s">
        <v>393</v>
      </c>
      <c r="AK405" s="302">
        <v>4</v>
      </c>
      <c r="AL405" s="303" t="s">
        <v>241</v>
      </c>
      <c r="AM405" s="304" t="s">
        <v>242</v>
      </c>
      <c r="AN405" s="305">
        <v>4286208</v>
      </c>
      <c r="AO405" s="305">
        <v>4286208</v>
      </c>
      <c r="AP405" s="303" t="s">
        <v>244</v>
      </c>
      <c r="AQ405" s="303" t="s">
        <v>245</v>
      </c>
      <c r="AR405" s="360" t="s">
        <v>246</v>
      </c>
      <c r="AS405" s="306" t="s">
        <v>247</v>
      </c>
      <c r="AT405" s="307" t="s">
        <v>372</v>
      </c>
      <c r="AU405" s="308" t="s">
        <v>248</v>
      </c>
      <c r="AV405" s="361" t="s">
        <v>249</v>
      </c>
      <c r="AW405" s="303" t="s">
        <v>244</v>
      </c>
      <c r="AX405" s="303" t="s">
        <v>361</v>
      </c>
      <c r="AY405" s="394" t="s">
        <v>250</v>
      </c>
      <c r="AZ405" s="394" t="s">
        <v>251</v>
      </c>
      <c r="BA405" s="394" t="s">
        <v>252</v>
      </c>
      <c r="BB405" s="394" t="s">
        <v>250</v>
      </c>
      <c r="BC405" s="394"/>
      <c r="BD405" s="394"/>
    </row>
    <row r="406" spans="1:56" customFormat="1" ht="48" x14ac:dyDescent="0.25">
      <c r="A406" s="257">
        <v>404</v>
      </c>
      <c r="B406" s="299" t="s">
        <v>90</v>
      </c>
      <c r="C406" s="299" t="s">
        <v>78</v>
      </c>
      <c r="D406" s="299" t="s">
        <v>375</v>
      </c>
      <c r="E406" s="299"/>
      <c r="F406" s="350" t="s">
        <v>383</v>
      </c>
      <c r="G406" s="350" t="s">
        <v>374</v>
      </c>
      <c r="H406" s="45" t="s">
        <v>69</v>
      </c>
      <c r="I406" s="299"/>
      <c r="J406" s="251">
        <v>1967592.5925925926</v>
      </c>
      <c r="K406" s="300">
        <v>5.0000000000000044E-2</v>
      </c>
      <c r="L406" s="311">
        <f t="shared" si="264"/>
        <v>1071552</v>
      </c>
      <c r="M406" s="299">
        <v>1</v>
      </c>
      <c r="N406" s="299" t="s">
        <v>686</v>
      </c>
      <c r="O406" s="250">
        <v>45500</v>
      </c>
      <c r="P406" s="316">
        <v>45626</v>
      </c>
      <c r="Q406" s="312">
        <v>4286208</v>
      </c>
      <c r="R406" s="317"/>
      <c r="S406" s="317"/>
      <c r="T406" s="312">
        <v>0</v>
      </c>
      <c r="U406" s="318">
        <v>4</v>
      </c>
      <c r="V406" s="312">
        <v>4286208</v>
      </c>
      <c r="W406" s="356">
        <v>1750000000</v>
      </c>
      <c r="X406" s="353">
        <v>-0.43899999999999995</v>
      </c>
      <c r="Y406" s="376"/>
      <c r="Z406" s="376" t="s">
        <v>376</v>
      </c>
      <c r="AA406" s="356">
        <v>981750000</v>
      </c>
      <c r="AB406" s="270" t="s">
        <v>243</v>
      </c>
      <c r="AC406" s="393" t="s">
        <v>373</v>
      </c>
      <c r="AD406" s="393" t="s">
        <v>361</v>
      </c>
      <c r="AE406" s="358" t="s">
        <v>244</v>
      </c>
      <c r="AF406" s="359" t="str">
        <f t="shared" si="262"/>
        <v>CLE-404</v>
      </c>
      <c r="AG406" s="270">
        <v>80111600</v>
      </c>
      <c r="AH406" s="310" t="s">
        <v>737</v>
      </c>
      <c r="AI406" s="301" t="s">
        <v>393</v>
      </c>
      <c r="AJ406" s="301" t="s">
        <v>393</v>
      </c>
      <c r="AK406" s="302">
        <v>4</v>
      </c>
      <c r="AL406" s="303" t="s">
        <v>241</v>
      </c>
      <c r="AM406" s="304" t="s">
        <v>242</v>
      </c>
      <c r="AN406" s="305">
        <v>4286208</v>
      </c>
      <c r="AO406" s="305">
        <v>4286208</v>
      </c>
      <c r="AP406" s="303" t="s">
        <v>244</v>
      </c>
      <c r="AQ406" s="303" t="s">
        <v>245</v>
      </c>
      <c r="AR406" s="360" t="s">
        <v>246</v>
      </c>
      <c r="AS406" s="306" t="s">
        <v>247</v>
      </c>
      <c r="AT406" s="307" t="s">
        <v>372</v>
      </c>
      <c r="AU406" s="308" t="s">
        <v>248</v>
      </c>
      <c r="AV406" s="361" t="s">
        <v>249</v>
      </c>
      <c r="AW406" s="303" t="s">
        <v>244</v>
      </c>
      <c r="AX406" s="303" t="s">
        <v>361</v>
      </c>
      <c r="AY406" s="394" t="s">
        <v>250</v>
      </c>
      <c r="AZ406" s="394" t="s">
        <v>251</v>
      </c>
      <c r="BA406" s="394" t="s">
        <v>252</v>
      </c>
      <c r="BB406" s="394" t="s">
        <v>250</v>
      </c>
      <c r="BC406" s="394"/>
      <c r="BD406" s="394"/>
    </row>
    <row r="407" spans="1:56" customFormat="1" ht="48" x14ac:dyDescent="0.25">
      <c r="A407" s="257">
        <v>405</v>
      </c>
      <c r="B407" s="299" t="s">
        <v>90</v>
      </c>
      <c r="C407" s="299" t="s">
        <v>78</v>
      </c>
      <c r="D407" s="299" t="s">
        <v>375</v>
      </c>
      <c r="E407" s="299"/>
      <c r="F407" s="350" t="s">
        <v>383</v>
      </c>
      <c r="G407" s="350" t="s">
        <v>374</v>
      </c>
      <c r="H407" s="45" t="s">
        <v>69</v>
      </c>
      <c r="I407" s="299"/>
      <c r="J407" s="251">
        <v>1967592.5925925926</v>
      </c>
      <c r="K407" s="300">
        <v>5.0000000000000044E-2</v>
      </c>
      <c r="L407" s="311">
        <f t="shared" si="264"/>
        <v>1071552</v>
      </c>
      <c r="M407" s="299">
        <v>1</v>
      </c>
      <c r="N407" s="299" t="s">
        <v>686</v>
      </c>
      <c r="O407" s="250">
        <v>45500</v>
      </c>
      <c r="P407" s="316">
        <v>45626</v>
      </c>
      <c r="Q407" s="312">
        <v>4286208</v>
      </c>
      <c r="R407" s="317"/>
      <c r="S407" s="317"/>
      <c r="T407" s="312">
        <v>0</v>
      </c>
      <c r="U407" s="318">
        <v>4</v>
      </c>
      <c r="V407" s="312">
        <v>4286208</v>
      </c>
      <c r="W407" s="356">
        <v>1750000000</v>
      </c>
      <c r="X407" s="353">
        <v>-0.43899999999999995</v>
      </c>
      <c r="Y407" s="376"/>
      <c r="Z407" s="376" t="s">
        <v>376</v>
      </c>
      <c r="AA407" s="356">
        <v>981750000</v>
      </c>
      <c r="AB407" s="270" t="s">
        <v>243</v>
      </c>
      <c r="AC407" s="393" t="s">
        <v>373</v>
      </c>
      <c r="AD407" s="393" t="s">
        <v>361</v>
      </c>
      <c r="AE407" s="358" t="s">
        <v>244</v>
      </c>
      <c r="AF407" s="359" t="str">
        <f t="shared" si="262"/>
        <v>CLE-405</v>
      </c>
      <c r="AG407" s="270">
        <v>80111600</v>
      </c>
      <c r="AH407" s="310" t="s">
        <v>737</v>
      </c>
      <c r="AI407" s="301" t="s">
        <v>393</v>
      </c>
      <c r="AJ407" s="301" t="s">
        <v>393</v>
      </c>
      <c r="AK407" s="302">
        <v>4</v>
      </c>
      <c r="AL407" s="303" t="s">
        <v>241</v>
      </c>
      <c r="AM407" s="304" t="s">
        <v>242</v>
      </c>
      <c r="AN407" s="305">
        <v>4286208</v>
      </c>
      <c r="AO407" s="305">
        <v>4286208</v>
      </c>
      <c r="AP407" s="303" t="s">
        <v>244</v>
      </c>
      <c r="AQ407" s="303" t="s">
        <v>245</v>
      </c>
      <c r="AR407" s="360" t="s">
        <v>246</v>
      </c>
      <c r="AS407" s="306" t="s">
        <v>247</v>
      </c>
      <c r="AT407" s="307" t="s">
        <v>372</v>
      </c>
      <c r="AU407" s="308" t="s">
        <v>248</v>
      </c>
      <c r="AV407" s="361" t="s">
        <v>249</v>
      </c>
      <c r="AW407" s="303" t="s">
        <v>244</v>
      </c>
      <c r="AX407" s="303" t="s">
        <v>361</v>
      </c>
      <c r="AY407" s="394" t="s">
        <v>250</v>
      </c>
      <c r="AZ407" s="394" t="s">
        <v>251</v>
      </c>
      <c r="BA407" s="394" t="s">
        <v>252</v>
      </c>
      <c r="BB407" s="394" t="s">
        <v>250</v>
      </c>
      <c r="BC407" s="394"/>
      <c r="BD407" s="394"/>
    </row>
    <row r="408" spans="1:56" customFormat="1" ht="48" x14ac:dyDescent="0.25">
      <c r="A408" s="257">
        <v>406</v>
      </c>
      <c r="B408" s="299" t="s">
        <v>90</v>
      </c>
      <c r="C408" s="299" t="s">
        <v>78</v>
      </c>
      <c r="D408" s="299" t="s">
        <v>375</v>
      </c>
      <c r="E408" s="299"/>
      <c r="F408" s="350" t="s">
        <v>383</v>
      </c>
      <c r="G408" s="350" t="s">
        <v>374</v>
      </c>
      <c r="H408" s="45" t="s">
        <v>69</v>
      </c>
      <c r="I408" s="299"/>
      <c r="J408" s="251">
        <v>1967592.5925925926</v>
      </c>
      <c r="K408" s="300">
        <v>5.0000000000000044E-2</v>
      </c>
      <c r="L408" s="311">
        <f t="shared" si="264"/>
        <v>1071552</v>
      </c>
      <c r="M408" s="299">
        <v>1</v>
      </c>
      <c r="N408" s="299" t="s">
        <v>686</v>
      </c>
      <c r="O408" s="250">
        <v>45500</v>
      </c>
      <c r="P408" s="316">
        <v>45626</v>
      </c>
      <c r="Q408" s="312">
        <v>4286208</v>
      </c>
      <c r="R408" s="317"/>
      <c r="S408" s="317"/>
      <c r="T408" s="312">
        <v>0</v>
      </c>
      <c r="U408" s="318">
        <v>4</v>
      </c>
      <c r="V408" s="312">
        <v>4286208</v>
      </c>
      <c r="W408" s="356">
        <v>1750000000</v>
      </c>
      <c r="X408" s="353">
        <v>-0.43899999999999995</v>
      </c>
      <c r="Y408" s="376"/>
      <c r="Z408" s="376" t="s">
        <v>376</v>
      </c>
      <c r="AA408" s="356">
        <v>981750000</v>
      </c>
      <c r="AB408" s="270" t="s">
        <v>243</v>
      </c>
      <c r="AC408" s="393" t="s">
        <v>373</v>
      </c>
      <c r="AD408" s="393" t="s">
        <v>361</v>
      </c>
      <c r="AE408" s="358" t="s">
        <v>244</v>
      </c>
      <c r="AF408" s="359" t="str">
        <f t="shared" si="262"/>
        <v>CLE-406</v>
      </c>
      <c r="AG408" s="270">
        <v>80111600</v>
      </c>
      <c r="AH408" s="310" t="s">
        <v>737</v>
      </c>
      <c r="AI408" s="301" t="s">
        <v>393</v>
      </c>
      <c r="AJ408" s="301" t="s">
        <v>393</v>
      </c>
      <c r="AK408" s="302">
        <v>4</v>
      </c>
      <c r="AL408" s="303" t="s">
        <v>241</v>
      </c>
      <c r="AM408" s="304" t="s">
        <v>242</v>
      </c>
      <c r="AN408" s="305">
        <v>4286208</v>
      </c>
      <c r="AO408" s="305">
        <v>4286208</v>
      </c>
      <c r="AP408" s="303" t="s">
        <v>244</v>
      </c>
      <c r="AQ408" s="303" t="s">
        <v>245</v>
      </c>
      <c r="AR408" s="360" t="s">
        <v>246</v>
      </c>
      <c r="AS408" s="306" t="s">
        <v>247</v>
      </c>
      <c r="AT408" s="307" t="s">
        <v>372</v>
      </c>
      <c r="AU408" s="308" t="s">
        <v>248</v>
      </c>
      <c r="AV408" s="361" t="s">
        <v>249</v>
      </c>
      <c r="AW408" s="303" t="s">
        <v>244</v>
      </c>
      <c r="AX408" s="303" t="s">
        <v>361</v>
      </c>
      <c r="AY408" s="394" t="s">
        <v>250</v>
      </c>
      <c r="AZ408" s="394" t="s">
        <v>251</v>
      </c>
      <c r="BA408" s="394" t="s">
        <v>252</v>
      </c>
      <c r="BB408" s="394" t="s">
        <v>250</v>
      </c>
      <c r="BC408" s="394"/>
      <c r="BD408" s="394"/>
    </row>
    <row r="409" spans="1:56" customFormat="1" ht="48" x14ac:dyDescent="0.25">
      <c r="A409" s="257">
        <v>407</v>
      </c>
      <c r="B409" s="299" t="s">
        <v>90</v>
      </c>
      <c r="C409" s="299" t="s">
        <v>78</v>
      </c>
      <c r="D409" s="299" t="s">
        <v>375</v>
      </c>
      <c r="E409" s="299"/>
      <c r="F409" s="350" t="s">
        <v>383</v>
      </c>
      <c r="G409" s="350" t="s">
        <v>374</v>
      </c>
      <c r="H409" s="45" t="s">
        <v>69</v>
      </c>
      <c r="I409" s="299"/>
      <c r="J409" s="251">
        <v>1967592.5925925926</v>
      </c>
      <c r="K409" s="300">
        <v>5.0000000000000044E-2</v>
      </c>
      <c r="L409" s="311">
        <f t="shared" si="264"/>
        <v>1071552</v>
      </c>
      <c r="M409" s="299">
        <v>1</v>
      </c>
      <c r="N409" s="299" t="s">
        <v>686</v>
      </c>
      <c r="O409" s="250">
        <v>45500</v>
      </c>
      <c r="P409" s="316">
        <v>45626</v>
      </c>
      <c r="Q409" s="312">
        <v>4286208</v>
      </c>
      <c r="R409" s="317"/>
      <c r="S409" s="317"/>
      <c r="T409" s="312">
        <v>0</v>
      </c>
      <c r="U409" s="318">
        <v>4</v>
      </c>
      <c r="V409" s="312">
        <v>4286208</v>
      </c>
      <c r="W409" s="356">
        <v>1750000000</v>
      </c>
      <c r="X409" s="353">
        <v>-0.43899999999999995</v>
      </c>
      <c r="Y409" s="376"/>
      <c r="Z409" s="376" t="s">
        <v>376</v>
      </c>
      <c r="AA409" s="356">
        <v>981750000</v>
      </c>
      <c r="AB409" s="270" t="s">
        <v>243</v>
      </c>
      <c r="AC409" s="393" t="s">
        <v>373</v>
      </c>
      <c r="AD409" s="393" t="s">
        <v>361</v>
      </c>
      <c r="AE409" s="358" t="s">
        <v>244</v>
      </c>
      <c r="AF409" s="359" t="str">
        <f t="shared" si="262"/>
        <v>CLE-407</v>
      </c>
      <c r="AG409" s="270">
        <v>80111600</v>
      </c>
      <c r="AH409" s="310" t="s">
        <v>737</v>
      </c>
      <c r="AI409" s="301" t="s">
        <v>393</v>
      </c>
      <c r="AJ409" s="301" t="s">
        <v>393</v>
      </c>
      <c r="AK409" s="302">
        <v>4</v>
      </c>
      <c r="AL409" s="303" t="s">
        <v>241</v>
      </c>
      <c r="AM409" s="304" t="s">
        <v>242</v>
      </c>
      <c r="AN409" s="305">
        <v>4286208</v>
      </c>
      <c r="AO409" s="305">
        <v>4286208</v>
      </c>
      <c r="AP409" s="303" t="s">
        <v>244</v>
      </c>
      <c r="AQ409" s="303" t="s">
        <v>245</v>
      </c>
      <c r="AR409" s="360" t="s">
        <v>246</v>
      </c>
      <c r="AS409" s="306" t="s">
        <v>247</v>
      </c>
      <c r="AT409" s="307" t="s">
        <v>372</v>
      </c>
      <c r="AU409" s="308" t="s">
        <v>248</v>
      </c>
      <c r="AV409" s="361" t="s">
        <v>249</v>
      </c>
      <c r="AW409" s="303" t="s">
        <v>244</v>
      </c>
      <c r="AX409" s="303" t="s">
        <v>361</v>
      </c>
      <c r="AY409" s="394" t="s">
        <v>250</v>
      </c>
      <c r="AZ409" s="394" t="s">
        <v>251</v>
      </c>
      <c r="BA409" s="394" t="s">
        <v>252</v>
      </c>
      <c r="BB409" s="394" t="s">
        <v>250</v>
      </c>
      <c r="BC409" s="394"/>
      <c r="BD409" s="394"/>
    </row>
    <row r="410" spans="1:56" customFormat="1" ht="48" x14ac:dyDescent="0.25">
      <c r="A410" s="257">
        <v>408</v>
      </c>
      <c r="B410" s="299" t="s">
        <v>90</v>
      </c>
      <c r="C410" s="299" t="s">
        <v>78</v>
      </c>
      <c r="D410" s="299" t="s">
        <v>375</v>
      </c>
      <c r="E410" s="299"/>
      <c r="F410" s="350" t="s">
        <v>383</v>
      </c>
      <c r="G410" s="350" t="s">
        <v>374</v>
      </c>
      <c r="H410" s="45" t="s">
        <v>69</v>
      </c>
      <c r="I410" s="299"/>
      <c r="J410" s="251">
        <v>1967592.5925925926</v>
      </c>
      <c r="K410" s="300">
        <v>5.0000000000000044E-2</v>
      </c>
      <c r="L410" s="416">
        <v>1036679</v>
      </c>
      <c r="M410" s="299">
        <v>1</v>
      </c>
      <c r="N410" s="299" t="s">
        <v>686</v>
      </c>
      <c r="O410" s="250">
        <v>45507</v>
      </c>
      <c r="P410" s="316">
        <v>45626</v>
      </c>
      <c r="Q410" s="312">
        <v>4146716</v>
      </c>
      <c r="R410" s="317"/>
      <c r="S410" s="317"/>
      <c r="T410" s="312">
        <v>0</v>
      </c>
      <c r="U410" s="318">
        <v>5</v>
      </c>
      <c r="V410" s="312">
        <v>4146716</v>
      </c>
      <c r="W410" s="356">
        <v>1750000000</v>
      </c>
      <c r="X410" s="353">
        <v>-0.43899999999999995</v>
      </c>
      <c r="Y410" s="376"/>
      <c r="Z410" s="376" t="s">
        <v>376</v>
      </c>
      <c r="AA410" s="356">
        <v>981750000</v>
      </c>
      <c r="AB410" s="270" t="s">
        <v>243</v>
      </c>
      <c r="AC410" s="393" t="s">
        <v>373</v>
      </c>
      <c r="AD410" s="393" t="s">
        <v>361</v>
      </c>
      <c r="AE410" s="358" t="s">
        <v>244</v>
      </c>
      <c r="AF410" s="315" t="s">
        <v>773</v>
      </c>
      <c r="AG410" s="270">
        <v>80111600</v>
      </c>
      <c r="AH410" s="310" t="s">
        <v>737</v>
      </c>
      <c r="AI410" s="301" t="s">
        <v>769</v>
      </c>
      <c r="AJ410" s="301" t="s">
        <v>769</v>
      </c>
      <c r="AK410" s="302">
        <v>5</v>
      </c>
      <c r="AL410" s="303" t="s">
        <v>241</v>
      </c>
      <c r="AM410" s="304" t="s">
        <v>242</v>
      </c>
      <c r="AN410" s="313">
        <v>4146716</v>
      </c>
      <c r="AO410" s="313">
        <v>4146716</v>
      </c>
      <c r="AP410" s="303" t="s">
        <v>244</v>
      </c>
      <c r="AQ410" s="303" t="s">
        <v>245</v>
      </c>
      <c r="AR410" s="360" t="s">
        <v>246</v>
      </c>
      <c r="AS410" s="306" t="s">
        <v>247</v>
      </c>
      <c r="AT410" s="307" t="s">
        <v>372</v>
      </c>
      <c r="AU410" s="308" t="s">
        <v>248</v>
      </c>
      <c r="AV410" s="361" t="s">
        <v>249</v>
      </c>
      <c r="AW410" s="303" t="s">
        <v>244</v>
      </c>
      <c r="AX410" s="303" t="s">
        <v>361</v>
      </c>
      <c r="AY410" s="394" t="s">
        <v>250</v>
      </c>
      <c r="AZ410" s="394" t="s">
        <v>251</v>
      </c>
      <c r="BA410" s="394" t="s">
        <v>252</v>
      </c>
      <c r="BB410" s="394" t="s">
        <v>250</v>
      </c>
      <c r="BC410" s="394"/>
      <c r="BD410" s="394"/>
    </row>
    <row r="411" spans="1:56" customFormat="1" ht="48" x14ac:dyDescent="0.25">
      <c r="A411" s="257">
        <v>409</v>
      </c>
      <c r="B411" s="299" t="s">
        <v>90</v>
      </c>
      <c r="C411" s="299" t="s">
        <v>78</v>
      </c>
      <c r="D411" s="299" t="s">
        <v>375</v>
      </c>
      <c r="E411" s="299"/>
      <c r="F411" s="350" t="s">
        <v>383</v>
      </c>
      <c r="G411" s="350" t="s">
        <v>374</v>
      </c>
      <c r="H411" s="45" t="s">
        <v>69</v>
      </c>
      <c r="I411" s="299"/>
      <c r="J411" s="251">
        <v>1967592.5925925926</v>
      </c>
      <c r="K411" s="300">
        <v>5.0000000000000044E-2</v>
      </c>
      <c r="L411" s="416">
        <v>1036679</v>
      </c>
      <c r="M411" s="299">
        <v>1</v>
      </c>
      <c r="N411" s="299" t="s">
        <v>686</v>
      </c>
      <c r="O411" s="250">
        <v>45507</v>
      </c>
      <c r="P411" s="316">
        <v>45626</v>
      </c>
      <c r="Q411" s="312">
        <v>4146716</v>
      </c>
      <c r="R411" s="317"/>
      <c r="S411" s="317"/>
      <c r="T411" s="312">
        <v>0</v>
      </c>
      <c r="U411" s="318">
        <v>5</v>
      </c>
      <c r="V411" s="312">
        <v>4146716</v>
      </c>
      <c r="W411" s="356">
        <v>1750000000</v>
      </c>
      <c r="X411" s="353">
        <v>-0.43899999999999995</v>
      </c>
      <c r="Y411" s="376"/>
      <c r="Z411" s="376" t="s">
        <v>376</v>
      </c>
      <c r="AA411" s="356">
        <v>981750000</v>
      </c>
      <c r="AB411" s="270" t="s">
        <v>243</v>
      </c>
      <c r="AC411" s="393" t="s">
        <v>373</v>
      </c>
      <c r="AD411" s="393" t="s">
        <v>361</v>
      </c>
      <c r="AE411" s="358" t="s">
        <v>244</v>
      </c>
      <c r="AF411" s="315" t="s">
        <v>774</v>
      </c>
      <c r="AG411" s="270">
        <v>80111600</v>
      </c>
      <c r="AH411" s="310" t="s">
        <v>737</v>
      </c>
      <c r="AI411" s="301" t="s">
        <v>769</v>
      </c>
      <c r="AJ411" s="301" t="s">
        <v>769</v>
      </c>
      <c r="AK411" s="302">
        <v>5</v>
      </c>
      <c r="AL411" s="303" t="s">
        <v>241</v>
      </c>
      <c r="AM411" s="304" t="s">
        <v>242</v>
      </c>
      <c r="AN411" s="313">
        <v>4146716</v>
      </c>
      <c r="AO411" s="313">
        <v>4146716</v>
      </c>
      <c r="AP411" s="303" t="s">
        <v>244</v>
      </c>
      <c r="AQ411" s="303" t="s">
        <v>245</v>
      </c>
      <c r="AR411" s="360" t="s">
        <v>246</v>
      </c>
      <c r="AS411" s="306" t="s">
        <v>247</v>
      </c>
      <c r="AT411" s="307" t="s">
        <v>372</v>
      </c>
      <c r="AU411" s="308" t="s">
        <v>248</v>
      </c>
      <c r="AV411" s="361" t="s">
        <v>249</v>
      </c>
      <c r="AW411" s="303" t="s">
        <v>244</v>
      </c>
      <c r="AX411" s="303" t="s">
        <v>361</v>
      </c>
      <c r="AY411" s="394" t="s">
        <v>250</v>
      </c>
      <c r="AZ411" s="394" t="s">
        <v>251</v>
      </c>
      <c r="BA411" s="394" t="s">
        <v>252</v>
      </c>
      <c r="BB411" s="394" t="s">
        <v>250</v>
      </c>
      <c r="BC411" s="394"/>
      <c r="BD411" s="394"/>
    </row>
    <row r="412" spans="1:56" s="431" customFormat="1" ht="48" hidden="1" x14ac:dyDescent="0.25">
      <c r="A412" s="267">
        <v>410</v>
      </c>
      <c r="B412" s="258" t="s">
        <v>90</v>
      </c>
      <c r="C412" s="258" t="s">
        <v>78</v>
      </c>
      <c r="D412" s="258" t="s">
        <v>375</v>
      </c>
      <c r="E412" s="258"/>
      <c r="F412" s="258" t="s">
        <v>383</v>
      </c>
      <c r="G412" s="258" t="s">
        <v>374</v>
      </c>
      <c r="H412" s="73" t="s">
        <v>69</v>
      </c>
      <c r="I412" s="258"/>
      <c r="J412" s="282">
        <v>1967592.5925925926</v>
      </c>
      <c r="K412" s="280">
        <v>5.0000000000000044E-2</v>
      </c>
      <c r="L412" s="282">
        <f t="shared" si="264"/>
        <v>1071552</v>
      </c>
      <c r="M412" s="258">
        <v>1</v>
      </c>
      <c r="N412" s="258" t="s">
        <v>686</v>
      </c>
      <c r="O412" s="283">
        <v>45500</v>
      </c>
      <c r="P412" s="284">
        <v>45626</v>
      </c>
      <c r="Q412" s="282">
        <v>4286208</v>
      </c>
      <c r="R412" s="391"/>
      <c r="S412" s="391"/>
      <c r="T412" s="282">
        <v>0</v>
      </c>
      <c r="U412" s="285">
        <v>4</v>
      </c>
      <c r="V412" s="282">
        <v>4286208</v>
      </c>
      <c r="W412" s="288">
        <v>1750000000</v>
      </c>
      <c r="X412" s="280">
        <v>-0.43899999999999995</v>
      </c>
      <c r="Y412" s="287"/>
      <c r="Z412" s="287" t="s">
        <v>376</v>
      </c>
      <c r="AA412" s="288">
        <v>981750000</v>
      </c>
      <c r="AB412" s="258" t="s">
        <v>243</v>
      </c>
      <c r="AC412" s="381" t="s">
        <v>373</v>
      </c>
      <c r="AD412" s="381" t="s">
        <v>361</v>
      </c>
      <c r="AE412" s="290" t="s">
        <v>244</v>
      </c>
      <c r="AF412" s="291" t="str">
        <f t="shared" si="262"/>
        <v>CLE-410</v>
      </c>
      <c r="AG412" s="258">
        <v>80111600</v>
      </c>
      <c r="AH412" s="259" t="s">
        <v>737</v>
      </c>
      <c r="AI412" s="260" t="s">
        <v>393</v>
      </c>
      <c r="AJ412" s="260" t="s">
        <v>393</v>
      </c>
      <c r="AK412" s="261">
        <v>4</v>
      </c>
      <c r="AL412" s="262" t="s">
        <v>241</v>
      </c>
      <c r="AM412" s="263" t="s">
        <v>242</v>
      </c>
      <c r="AN412" s="264">
        <v>4286208</v>
      </c>
      <c r="AO412" s="264">
        <v>4286208</v>
      </c>
      <c r="AP412" s="262" t="s">
        <v>244</v>
      </c>
      <c r="AQ412" s="262" t="s">
        <v>245</v>
      </c>
      <c r="AR412" s="293" t="s">
        <v>246</v>
      </c>
      <c r="AS412" s="265" t="s">
        <v>247</v>
      </c>
      <c r="AT412" s="258" t="s">
        <v>372</v>
      </c>
      <c r="AU412" s="262" t="s">
        <v>248</v>
      </c>
      <c r="AV412" s="294" t="s">
        <v>249</v>
      </c>
      <c r="AW412" s="262" t="s">
        <v>244</v>
      </c>
      <c r="AX412" s="262" t="s">
        <v>361</v>
      </c>
      <c r="AY412" s="392" t="s">
        <v>250</v>
      </c>
      <c r="AZ412" s="392" t="s">
        <v>251</v>
      </c>
      <c r="BA412" s="392" t="s">
        <v>252</v>
      </c>
      <c r="BB412" s="392" t="s">
        <v>250</v>
      </c>
      <c r="BC412" s="392"/>
      <c r="BD412" s="392"/>
    </row>
    <row r="413" spans="1:56" ht="96" x14ac:dyDescent="0.2">
      <c r="A413" s="257">
        <v>411</v>
      </c>
      <c r="B413" s="299" t="s">
        <v>63</v>
      </c>
      <c r="C413" s="299" t="s">
        <v>25</v>
      </c>
      <c r="D413" s="299" t="s">
        <v>31</v>
      </c>
      <c r="E413" s="299"/>
      <c r="F413" s="350" t="s">
        <v>383</v>
      </c>
      <c r="G413" s="350" t="s">
        <v>374</v>
      </c>
      <c r="H413" s="299" t="s">
        <v>69</v>
      </c>
      <c r="I413" s="299">
        <v>6</v>
      </c>
      <c r="J413" s="251">
        <v>3400000</v>
      </c>
      <c r="K413" s="300">
        <f t="shared" ref="K413:K417" si="265">IF(J413="",1,((L413/J413)-1))</f>
        <v>0.29411764705882359</v>
      </c>
      <c r="L413" s="311">
        <f>IF(H413="OTRO",(J413*1.05),VLOOKUP((I413&amp;H413),'ESCALAS Salarios'!$D$2:$F$30,3,0))</f>
        <v>4400000</v>
      </c>
      <c r="M413" s="299">
        <v>1</v>
      </c>
      <c r="N413" s="299" t="s">
        <v>485</v>
      </c>
      <c r="O413" s="250">
        <v>45580</v>
      </c>
      <c r="P413" s="316">
        <v>45646</v>
      </c>
      <c r="Q413" s="312">
        <v>9433333</v>
      </c>
      <c r="R413" s="250"/>
      <c r="S413" s="250"/>
      <c r="T413" s="312">
        <f t="shared" ref="T413:T417" si="266">IF($N413="MENSUAL",ROUND((((S413-R413))/30),0)*$L413,((S413-R413)/30)*$L413)</f>
        <v>0</v>
      </c>
      <c r="U413" s="318">
        <f t="shared" ref="U413:U416" si="267">ROUND((((P413-O413)+(S413-R413))/30),0)</f>
        <v>2</v>
      </c>
      <c r="V413" s="312">
        <f t="shared" ref="V413:V417" si="268">+Q413+T413</f>
        <v>9433333</v>
      </c>
      <c r="W413" s="313">
        <v>35360000</v>
      </c>
      <c r="X413" s="353">
        <f t="shared" ref="X413:X417" si="269">IF(W413="",1,((V413/W413)-1))</f>
        <v>-0.73322022058823522</v>
      </c>
      <c r="Y413" s="375">
        <v>80723573</v>
      </c>
      <c r="Z413" s="376" t="s">
        <v>32</v>
      </c>
      <c r="AA413" s="356">
        <f t="shared" ref="AA413:AA417" si="270">+V413</f>
        <v>9433333</v>
      </c>
      <c r="AB413" s="270" t="s">
        <v>243</v>
      </c>
      <c r="AC413" s="393" t="s">
        <v>1</v>
      </c>
      <c r="AD413" s="358" t="s">
        <v>361</v>
      </c>
      <c r="AE413" s="358" t="s">
        <v>244</v>
      </c>
      <c r="AF413" s="359" t="str">
        <f t="shared" ref="AF413:AF417" si="271">"CON-"&amp;A413</f>
        <v>CON-411</v>
      </c>
      <c r="AG413" s="270">
        <v>80111600</v>
      </c>
      <c r="AH413" s="249" t="s">
        <v>764</v>
      </c>
      <c r="AI413" s="301">
        <f t="shared" ref="AI413:AI417" si="272">+O413</f>
        <v>45580</v>
      </c>
      <c r="AJ413" s="301">
        <f t="shared" ref="AJ413:AJ417" si="273">+AI413</f>
        <v>45580</v>
      </c>
      <c r="AK413" s="302">
        <f t="shared" ref="AK413:AK417" si="274">+U413</f>
        <v>2</v>
      </c>
      <c r="AL413" s="303" t="s">
        <v>241</v>
      </c>
      <c r="AM413" s="304" t="s">
        <v>242</v>
      </c>
      <c r="AN413" s="305">
        <f t="shared" ref="AN413:AN417" si="275">+V413</f>
        <v>9433333</v>
      </c>
      <c r="AO413" s="305">
        <f t="shared" ref="AO413:AO417" si="276">+AN413</f>
        <v>9433333</v>
      </c>
      <c r="AP413" s="303" t="s">
        <v>244</v>
      </c>
      <c r="AQ413" s="303" t="s">
        <v>245</v>
      </c>
      <c r="AR413" s="360" t="s">
        <v>246</v>
      </c>
      <c r="AS413" s="306" t="s">
        <v>247</v>
      </c>
      <c r="AT413" s="307" t="str">
        <f t="shared" ref="AT413:AT417" si="277">D413</f>
        <v xml:space="preserve">SUBDIRECCIÓN DE GESTIÓN DE SISTEMAS DE INFORMACIÓN </v>
      </c>
      <c r="AU413" s="308" t="s">
        <v>248</v>
      </c>
      <c r="AV413" s="361" t="s">
        <v>249</v>
      </c>
      <c r="AW413" s="303" t="s">
        <v>244</v>
      </c>
      <c r="AX413" s="303" t="s">
        <v>244</v>
      </c>
      <c r="AY413" s="362" t="s">
        <v>250</v>
      </c>
      <c r="AZ413" s="363" t="s">
        <v>251</v>
      </c>
      <c r="BA413" s="363" t="s">
        <v>252</v>
      </c>
      <c r="BB413" s="363" t="s">
        <v>250</v>
      </c>
      <c r="BC413" s="363"/>
      <c r="BD413" s="363"/>
    </row>
    <row r="414" spans="1:56" ht="122.25" customHeight="1" x14ac:dyDescent="0.2">
      <c r="A414" s="257">
        <v>412</v>
      </c>
      <c r="B414" s="299" t="s">
        <v>63</v>
      </c>
      <c r="C414" s="299" t="s">
        <v>25</v>
      </c>
      <c r="D414" s="299" t="s">
        <v>31</v>
      </c>
      <c r="E414" s="299"/>
      <c r="F414" s="350" t="s">
        <v>383</v>
      </c>
      <c r="G414" s="350" t="s">
        <v>374</v>
      </c>
      <c r="H414" s="299" t="s">
        <v>69</v>
      </c>
      <c r="I414" s="299">
        <v>6</v>
      </c>
      <c r="J414" s="251">
        <v>3400000</v>
      </c>
      <c r="K414" s="300">
        <f t="shared" si="265"/>
        <v>0.29411764705882359</v>
      </c>
      <c r="L414" s="311">
        <f>IF(H414="OTRO",(J414*1.05),VLOOKUP((I414&amp;H414),'ESCALAS Salarios'!$D$2:$F$30,3,0))</f>
        <v>4400000</v>
      </c>
      <c r="M414" s="299">
        <v>1</v>
      </c>
      <c r="N414" s="299" t="s">
        <v>485</v>
      </c>
      <c r="O414" s="250">
        <v>45572</v>
      </c>
      <c r="P414" s="316">
        <v>45646</v>
      </c>
      <c r="Q414" s="312">
        <v>10706667</v>
      </c>
      <c r="R414" s="250"/>
      <c r="S414" s="250"/>
      <c r="T414" s="312">
        <f t="shared" si="266"/>
        <v>0</v>
      </c>
      <c r="U414" s="318">
        <f t="shared" si="267"/>
        <v>2</v>
      </c>
      <c r="V414" s="312">
        <v>10706667</v>
      </c>
      <c r="W414" s="313">
        <v>35360000</v>
      </c>
      <c r="X414" s="353">
        <f t="shared" si="269"/>
        <v>-0.69720964366515836</v>
      </c>
      <c r="Y414" s="375">
        <v>1065564485</v>
      </c>
      <c r="Z414" s="376" t="s">
        <v>33</v>
      </c>
      <c r="AA414" s="356">
        <f t="shared" si="270"/>
        <v>10706667</v>
      </c>
      <c r="AB414" s="270" t="s">
        <v>243</v>
      </c>
      <c r="AC414" s="393" t="s">
        <v>1</v>
      </c>
      <c r="AD414" s="358" t="s">
        <v>361</v>
      </c>
      <c r="AE414" s="358" t="s">
        <v>244</v>
      </c>
      <c r="AF414" s="359" t="str">
        <f t="shared" si="271"/>
        <v>CON-412</v>
      </c>
      <c r="AG414" s="270">
        <v>80111600</v>
      </c>
      <c r="AH414" s="249" t="s">
        <v>765</v>
      </c>
      <c r="AI414" s="301">
        <f t="shared" si="272"/>
        <v>45572</v>
      </c>
      <c r="AJ414" s="301">
        <f t="shared" si="273"/>
        <v>45572</v>
      </c>
      <c r="AK414" s="302">
        <f t="shared" si="274"/>
        <v>2</v>
      </c>
      <c r="AL414" s="303" t="s">
        <v>241</v>
      </c>
      <c r="AM414" s="304" t="s">
        <v>242</v>
      </c>
      <c r="AN414" s="305">
        <f t="shared" si="275"/>
        <v>10706667</v>
      </c>
      <c r="AO414" s="305">
        <f t="shared" si="276"/>
        <v>10706667</v>
      </c>
      <c r="AP414" s="303" t="s">
        <v>244</v>
      </c>
      <c r="AQ414" s="303" t="s">
        <v>245</v>
      </c>
      <c r="AR414" s="360" t="s">
        <v>246</v>
      </c>
      <c r="AS414" s="306" t="s">
        <v>247</v>
      </c>
      <c r="AT414" s="307" t="str">
        <f t="shared" si="277"/>
        <v xml:space="preserve">SUBDIRECCIÓN DE GESTIÓN DE SISTEMAS DE INFORMACIÓN </v>
      </c>
      <c r="AU414" s="308" t="s">
        <v>248</v>
      </c>
      <c r="AV414" s="361" t="s">
        <v>249</v>
      </c>
      <c r="AW414" s="303" t="s">
        <v>244</v>
      </c>
      <c r="AX414" s="303" t="s">
        <v>244</v>
      </c>
      <c r="AY414" s="362" t="s">
        <v>250</v>
      </c>
      <c r="AZ414" s="363" t="s">
        <v>251</v>
      </c>
      <c r="BA414" s="363" t="s">
        <v>252</v>
      </c>
      <c r="BB414" s="363" t="s">
        <v>250</v>
      </c>
      <c r="BC414" s="363"/>
      <c r="BD414" s="363"/>
    </row>
    <row r="415" spans="1:56" ht="99" customHeight="1" x14ac:dyDescent="0.2">
      <c r="A415" s="257">
        <v>413</v>
      </c>
      <c r="B415" s="299" t="s">
        <v>63</v>
      </c>
      <c r="C415" s="299" t="s">
        <v>25</v>
      </c>
      <c r="D415" s="299" t="s">
        <v>31</v>
      </c>
      <c r="E415" s="299"/>
      <c r="F415" s="350" t="s">
        <v>383</v>
      </c>
      <c r="G415" s="350" t="s">
        <v>374</v>
      </c>
      <c r="H415" s="299" t="s">
        <v>67</v>
      </c>
      <c r="I415" s="299">
        <v>1</v>
      </c>
      <c r="J415" s="251">
        <v>4550000</v>
      </c>
      <c r="K415" s="300">
        <f t="shared" si="265"/>
        <v>3.2967032967033072E-2</v>
      </c>
      <c r="L415" s="311">
        <f>IF(H415="OTRO",(J415*1.05),VLOOKUP((I415&amp;H415),'ESCALAS Salarios'!$D$2:$F$30,3,0))</f>
        <v>4700000</v>
      </c>
      <c r="M415" s="299">
        <v>1</v>
      </c>
      <c r="N415" s="299" t="s">
        <v>485</v>
      </c>
      <c r="O415" s="250">
        <v>45572</v>
      </c>
      <c r="P415" s="316">
        <v>45646</v>
      </c>
      <c r="Q415" s="312">
        <v>1906667</v>
      </c>
      <c r="R415" s="250"/>
      <c r="S415" s="250"/>
      <c r="T415" s="312">
        <f t="shared" si="266"/>
        <v>0</v>
      </c>
      <c r="U415" s="318">
        <f t="shared" si="267"/>
        <v>2</v>
      </c>
      <c r="V415" s="312">
        <f t="shared" si="268"/>
        <v>1906667</v>
      </c>
      <c r="W415" s="313">
        <v>47320000</v>
      </c>
      <c r="X415" s="353">
        <f t="shared" si="269"/>
        <v>-0.95970695266272188</v>
      </c>
      <c r="Y415" s="375">
        <v>52558393</v>
      </c>
      <c r="Z415" s="376" t="s">
        <v>427</v>
      </c>
      <c r="AA415" s="356">
        <f t="shared" si="270"/>
        <v>1906667</v>
      </c>
      <c r="AB415" s="270" t="s">
        <v>243</v>
      </c>
      <c r="AC415" s="393" t="s">
        <v>1</v>
      </c>
      <c r="AD415" s="358" t="s">
        <v>361</v>
      </c>
      <c r="AE415" s="358" t="s">
        <v>244</v>
      </c>
      <c r="AF415" s="359" t="str">
        <f t="shared" si="271"/>
        <v>CON-413</v>
      </c>
      <c r="AG415" s="270">
        <v>80111600</v>
      </c>
      <c r="AH415" s="249" t="s">
        <v>766</v>
      </c>
      <c r="AI415" s="301">
        <f t="shared" si="272"/>
        <v>45572</v>
      </c>
      <c r="AJ415" s="301">
        <f t="shared" si="273"/>
        <v>45572</v>
      </c>
      <c r="AK415" s="302">
        <f t="shared" si="274"/>
        <v>2</v>
      </c>
      <c r="AL415" s="303" t="s">
        <v>241</v>
      </c>
      <c r="AM415" s="304" t="s">
        <v>242</v>
      </c>
      <c r="AN415" s="305">
        <f t="shared" si="275"/>
        <v>1906667</v>
      </c>
      <c r="AO415" s="305">
        <f t="shared" si="276"/>
        <v>1906667</v>
      </c>
      <c r="AP415" s="303" t="s">
        <v>244</v>
      </c>
      <c r="AQ415" s="303" t="s">
        <v>245</v>
      </c>
      <c r="AR415" s="360" t="s">
        <v>246</v>
      </c>
      <c r="AS415" s="306" t="s">
        <v>247</v>
      </c>
      <c r="AT415" s="307" t="str">
        <f t="shared" si="277"/>
        <v xml:space="preserve">SUBDIRECCIÓN DE GESTIÓN DE SISTEMAS DE INFORMACIÓN </v>
      </c>
      <c r="AU415" s="308" t="s">
        <v>248</v>
      </c>
      <c r="AV415" s="361" t="s">
        <v>249</v>
      </c>
      <c r="AW415" s="303" t="s">
        <v>244</v>
      </c>
      <c r="AX415" s="303" t="s">
        <v>244</v>
      </c>
      <c r="AY415" s="362" t="s">
        <v>250</v>
      </c>
      <c r="AZ415" s="363" t="s">
        <v>251</v>
      </c>
      <c r="BA415" s="363" t="s">
        <v>252</v>
      </c>
      <c r="BB415" s="363" t="s">
        <v>250</v>
      </c>
      <c r="BC415" s="363"/>
      <c r="BD415" s="363"/>
    </row>
    <row r="416" spans="1:56" ht="60" x14ac:dyDescent="0.2">
      <c r="A416" s="257">
        <v>414</v>
      </c>
      <c r="B416" s="299" t="s">
        <v>63</v>
      </c>
      <c r="C416" s="299" t="s">
        <v>25</v>
      </c>
      <c r="D416" s="299" t="s">
        <v>31</v>
      </c>
      <c r="E416" s="299"/>
      <c r="F416" s="350" t="s">
        <v>383</v>
      </c>
      <c r="G416" s="350" t="s">
        <v>374</v>
      </c>
      <c r="H416" s="299" t="s">
        <v>69</v>
      </c>
      <c r="I416" s="299">
        <v>6</v>
      </c>
      <c r="J416" s="251">
        <v>3400000</v>
      </c>
      <c r="K416" s="300">
        <f t="shared" si="265"/>
        <v>0.29411764705882359</v>
      </c>
      <c r="L416" s="311">
        <f>IF(H416="OTRO",(J416*1.05),VLOOKUP((I416&amp;H416),'ESCALAS Salarios'!$D$2:$F$30,3,0))</f>
        <v>4400000</v>
      </c>
      <c r="M416" s="299">
        <v>1</v>
      </c>
      <c r="N416" s="299" t="s">
        <v>485</v>
      </c>
      <c r="O416" s="250">
        <v>45572</v>
      </c>
      <c r="P416" s="316">
        <v>45646</v>
      </c>
      <c r="Q416" s="312">
        <v>10706667</v>
      </c>
      <c r="R416" s="250"/>
      <c r="S416" s="250"/>
      <c r="T416" s="312">
        <f t="shared" si="266"/>
        <v>0</v>
      </c>
      <c r="U416" s="318">
        <f t="shared" si="267"/>
        <v>2</v>
      </c>
      <c r="V416" s="312">
        <f t="shared" si="268"/>
        <v>10706667</v>
      </c>
      <c r="W416" s="313">
        <v>35360000</v>
      </c>
      <c r="X416" s="353">
        <f t="shared" si="269"/>
        <v>-0.69720964366515836</v>
      </c>
      <c r="Y416" s="375">
        <v>80010368</v>
      </c>
      <c r="Z416" s="376" t="s">
        <v>34</v>
      </c>
      <c r="AA416" s="356">
        <f t="shared" si="270"/>
        <v>10706667</v>
      </c>
      <c r="AB416" s="270" t="s">
        <v>243</v>
      </c>
      <c r="AC416" s="393" t="s">
        <v>1</v>
      </c>
      <c r="AD416" s="358" t="s">
        <v>361</v>
      </c>
      <c r="AE416" s="358" t="s">
        <v>244</v>
      </c>
      <c r="AF416" s="359" t="str">
        <f t="shared" si="271"/>
        <v>CON-414</v>
      </c>
      <c r="AG416" s="270">
        <v>80111600</v>
      </c>
      <c r="AH416" s="249" t="s">
        <v>767</v>
      </c>
      <c r="AI416" s="301">
        <f t="shared" si="272"/>
        <v>45572</v>
      </c>
      <c r="AJ416" s="301">
        <f t="shared" si="273"/>
        <v>45572</v>
      </c>
      <c r="AK416" s="302">
        <f t="shared" si="274"/>
        <v>2</v>
      </c>
      <c r="AL416" s="303" t="s">
        <v>241</v>
      </c>
      <c r="AM416" s="304" t="s">
        <v>242</v>
      </c>
      <c r="AN416" s="305">
        <f t="shared" si="275"/>
        <v>10706667</v>
      </c>
      <c r="AO416" s="305">
        <f t="shared" si="276"/>
        <v>10706667</v>
      </c>
      <c r="AP416" s="303" t="s">
        <v>244</v>
      </c>
      <c r="AQ416" s="303" t="s">
        <v>245</v>
      </c>
      <c r="AR416" s="360" t="s">
        <v>246</v>
      </c>
      <c r="AS416" s="306" t="s">
        <v>247</v>
      </c>
      <c r="AT416" s="307" t="str">
        <f t="shared" si="277"/>
        <v xml:space="preserve">SUBDIRECCIÓN DE GESTIÓN DE SISTEMAS DE INFORMACIÓN </v>
      </c>
      <c r="AU416" s="308" t="s">
        <v>248</v>
      </c>
      <c r="AV416" s="361" t="s">
        <v>249</v>
      </c>
      <c r="AW416" s="303" t="s">
        <v>244</v>
      </c>
      <c r="AX416" s="303" t="s">
        <v>244</v>
      </c>
      <c r="AY416" s="362" t="s">
        <v>250</v>
      </c>
      <c r="AZ416" s="363" t="s">
        <v>251</v>
      </c>
      <c r="BA416" s="363" t="s">
        <v>252</v>
      </c>
      <c r="BB416" s="363" t="s">
        <v>250</v>
      </c>
      <c r="BC416" s="363"/>
      <c r="BD416" s="363"/>
    </row>
    <row r="417" spans="1:56" s="89" customFormat="1" ht="75" customHeight="1" x14ac:dyDescent="0.2">
      <c r="A417" s="436">
        <v>415</v>
      </c>
      <c r="B417" s="437" t="s">
        <v>63</v>
      </c>
      <c r="C417" s="437" t="s">
        <v>25</v>
      </c>
      <c r="D417" s="437" t="s">
        <v>31</v>
      </c>
      <c r="E417" s="437"/>
      <c r="F417" s="438" t="s">
        <v>480</v>
      </c>
      <c r="G417" s="438" t="s">
        <v>374</v>
      </c>
      <c r="H417" s="437" t="s">
        <v>69</v>
      </c>
      <c r="I417" s="437">
        <v>6</v>
      </c>
      <c r="J417" s="439">
        <v>2200000</v>
      </c>
      <c r="K417" s="440">
        <f t="shared" si="265"/>
        <v>1</v>
      </c>
      <c r="L417" s="441">
        <f>IF(H417="OTRO",(J417*1.05),VLOOKUP((I417&amp;H417),'ESCALAS Salarios'!$D$2:$F$30,3,0))</f>
        <v>4400000</v>
      </c>
      <c r="M417" s="437">
        <v>1</v>
      </c>
      <c r="N417" s="437" t="s">
        <v>485</v>
      </c>
      <c r="O417" s="442">
        <v>45520</v>
      </c>
      <c r="P417" s="443">
        <v>45645</v>
      </c>
      <c r="Q417" s="444">
        <v>18186667</v>
      </c>
      <c r="R417" s="442"/>
      <c r="S417" s="442"/>
      <c r="T417" s="444">
        <f t="shared" si="266"/>
        <v>0</v>
      </c>
      <c r="U417" s="445">
        <f>ROUND((((P417-O417)+(S417-R417))/30),0)</f>
        <v>4</v>
      </c>
      <c r="V417" s="444">
        <f t="shared" si="268"/>
        <v>18186667</v>
      </c>
      <c r="W417" s="446">
        <v>22880000</v>
      </c>
      <c r="X417" s="447">
        <f t="shared" si="269"/>
        <v>-0.20512819055944054</v>
      </c>
      <c r="Y417" s="448">
        <v>1000115711</v>
      </c>
      <c r="Z417" s="449" t="s">
        <v>428</v>
      </c>
      <c r="AA417" s="450">
        <f t="shared" si="270"/>
        <v>18186667</v>
      </c>
      <c r="AB417" s="451" t="s">
        <v>243</v>
      </c>
      <c r="AC417" s="473" t="s">
        <v>1</v>
      </c>
      <c r="AD417" s="452" t="s">
        <v>361</v>
      </c>
      <c r="AE417" s="452" t="s">
        <v>244</v>
      </c>
      <c r="AF417" s="453" t="str">
        <f t="shared" si="271"/>
        <v>CON-415</v>
      </c>
      <c r="AG417" s="451">
        <v>80111600</v>
      </c>
      <c r="AH417" s="454" t="s">
        <v>777</v>
      </c>
      <c r="AI417" s="455">
        <f t="shared" si="272"/>
        <v>45520</v>
      </c>
      <c r="AJ417" s="455">
        <f t="shared" si="273"/>
        <v>45520</v>
      </c>
      <c r="AK417" s="456">
        <f t="shared" si="274"/>
        <v>4</v>
      </c>
      <c r="AL417" s="457" t="s">
        <v>241</v>
      </c>
      <c r="AM417" s="458" t="s">
        <v>242</v>
      </c>
      <c r="AN417" s="459">
        <f t="shared" si="275"/>
        <v>18186667</v>
      </c>
      <c r="AO417" s="459">
        <f t="shared" si="276"/>
        <v>18186667</v>
      </c>
      <c r="AP417" s="457" t="s">
        <v>244</v>
      </c>
      <c r="AQ417" s="457" t="s">
        <v>245</v>
      </c>
      <c r="AR417" s="460" t="s">
        <v>246</v>
      </c>
      <c r="AS417" s="461" t="s">
        <v>247</v>
      </c>
      <c r="AT417" s="462" t="str">
        <f t="shared" si="277"/>
        <v xml:space="preserve">SUBDIRECCIÓN DE GESTIÓN DE SISTEMAS DE INFORMACIÓN </v>
      </c>
      <c r="AU417" s="463" t="s">
        <v>248</v>
      </c>
      <c r="AV417" s="464" t="s">
        <v>249</v>
      </c>
      <c r="AW417" s="457" t="s">
        <v>244</v>
      </c>
      <c r="AX417" s="457" t="s">
        <v>244</v>
      </c>
      <c r="AY417" s="465" t="s">
        <v>250</v>
      </c>
      <c r="AZ417" s="466" t="s">
        <v>251</v>
      </c>
      <c r="BA417" s="466" t="s">
        <v>252</v>
      </c>
      <c r="BB417" s="466" t="s">
        <v>250</v>
      </c>
      <c r="BC417" s="466"/>
      <c r="BD417" s="466"/>
    </row>
    <row r="418" spans="1:56" customFormat="1" ht="48" x14ac:dyDescent="0.25">
      <c r="A418" s="257">
        <v>416</v>
      </c>
      <c r="B418" s="299" t="s">
        <v>90</v>
      </c>
      <c r="C418" s="299" t="s">
        <v>78</v>
      </c>
      <c r="D418" s="299" t="s">
        <v>375</v>
      </c>
      <c r="E418" s="299"/>
      <c r="F418" s="350" t="s">
        <v>383</v>
      </c>
      <c r="G418" s="350" t="s">
        <v>374</v>
      </c>
      <c r="H418" s="45" t="s">
        <v>473</v>
      </c>
      <c r="I418" s="299"/>
      <c r="J418" s="251">
        <v>1967592.5925925926</v>
      </c>
      <c r="K418" s="300">
        <v>5.0000000000000044E-2</v>
      </c>
      <c r="L418" s="311" t="s">
        <v>28</v>
      </c>
      <c r="M418" s="299">
        <v>1</v>
      </c>
      <c r="N418" s="299" t="s">
        <v>686</v>
      </c>
      <c r="O418" s="250">
        <v>45507</v>
      </c>
      <c r="P418" s="316">
        <v>45626</v>
      </c>
      <c r="Q418" s="312">
        <v>27140880</v>
      </c>
      <c r="R418" s="317"/>
      <c r="S418" s="317"/>
      <c r="T418" s="312">
        <v>0</v>
      </c>
      <c r="U418" s="318">
        <v>4</v>
      </c>
      <c r="V418" s="312">
        <v>27140880</v>
      </c>
      <c r="W418" s="356">
        <v>1750000000</v>
      </c>
      <c r="X418" s="353">
        <v>-0.43899999999999995</v>
      </c>
      <c r="Y418" s="376"/>
      <c r="Z418" s="376" t="s">
        <v>376</v>
      </c>
      <c r="AA418" s="356">
        <v>981750000</v>
      </c>
      <c r="AB418" s="270" t="s">
        <v>243</v>
      </c>
      <c r="AC418" s="393" t="s">
        <v>373</v>
      </c>
      <c r="AD418" s="393" t="s">
        <v>361</v>
      </c>
      <c r="AE418" s="358" t="s">
        <v>244</v>
      </c>
      <c r="AF418" s="359" t="str">
        <f>"CLE-"&amp;A418</f>
        <v>CLE-416</v>
      </c>
      <c r="AG418" s="270">
        <v>80111600</v>
      </c>
      <c r="AH418" s="310" t="s">
        <v>737</v>
      </c>
      <c r="AI418" s="301" t="s">
        <v>769</v>
      </c>
      <c r="AJ418" s="301" t="s">
        <v>769</v>
      </c>
      <c r="AK418" s="302">
        <v>4</v>
      </c>
      <c r="AL418" s="303" t="s">
        <v>241</v>
      </c>
      <c r="AM418" s="304" t="s">
        <v>242</v>
      </c>
      <c r="AN418" s="305">
        <v>27140880</v>
      </c>
      <c r="AO418" s="305">
        <v>27140880</v>
      </c>
      <c r="AP418" s="303" t="s">
        <v>244</v>
      </c>
      <c r="AQ418" s="303" t="s">
        <v>245</v>
      </c>
      <c r="AR418" s="360" t="s">
        <v>246</v>
      </c>
      <c r="AS418" s="306" t="s">
        <v>247</v>
      </c>
      <c r="AT418" s="307" t="s">
        <v>372</v>
      </c>
      <c r="AU418" s="308" t="s">
        <v>248</v>
      </c>
      <c r="AV418" s="361" t="s">
        <v>249</v>
      </c>
      <c r="AW418" s="303" t="s">
        <v>244</v>
      </c>
      <c r="AX418" s="303" t="s">
        <v>361</v>
      </c>
      <c r="AY418" s="394" t="s">
        <v>250</v>
      </c>
      <c r="AZ418" s="394" t="s">
        <v>251</v>
      </c>
      <c r="BA418" s="394" t="s">
        <v>252</v>
      </c>
      <c r="BB418" s="394" t="s">
        <v>250</v>
      </c>
      <c r="BC418" s="394"/>
      <c r="BD418" s="394"/>
    </row>
    <row r="419" spans="1:56" ht="72.75" customHeight="1" x14ac:dyDescent="0.2">
      <c r="A419" s="298">
        <v>417</v>
      </c>
      <c r="B419" s="299" t="s">
        <v>63</v>
      </c>
      <c r="C419" s="299" t="s">
        <v>48</v>
      </c>
      <c r="D419" s="299" t="s">
        <v>48</v>
      </c>
      <c r="E419" s="299"/>
      <c r="F419" s="299"/>
      <c r="G419" s="299"/>
      <c r="H419" s="299" t="s">
        <v>69</v>
      </c>
      <c r="I419" s="299"/>
      <c r="J419" s="299"/>
      <c r="K419" s="299">
        <v>1</v>
      </c>
      <c r="L419" s="311">
        <v>3100000</v>
      </c>
      <c r="M419" s="299">
        <v>1</v>
      </c>
      <c r="N419" s="299" t="s">
        <v>485</v>
      </c>
      <c r="O419" s="250">
        <v>45518</v>
      </c>
      <c r="P419" s="316">
        <v>45579</v>
      </c>
      <c r="Q419" s="312">
        <v>6200000</v>
      </c>
      <c r="R419" s="250"/>
      <c r="S419" s="250"/>
      <c r="T419" s="312">
        <v>6200000</v>
      </c>
      <c r="U419" s="318">
        <v>2</v>
      </c>
      <c r="V419" s="352">
        <v>6200000</v>
      </c>
      <c r="W419" s="356">
        <v>42986666.666666672</v>
      </c>
      <c r="X419" s="270" t="s">
        <v>243</v>
      </c>
      <c r="Y419" s="357" t="s">
        <v>1</v>
      </c>
      <c r="Z419" s="358" t="s">
        <v>361</v>
      </c>
      <c r="AA419" s="356">
        <v>6200000</v>
      </c>
      <c r="AB419" s="270" t="s">
        <v>243</v>
      </c>
      <c r="AC419" s="473" t="s">
        <v>1</v>
      </c>
      <c r="AD419" s="393" t="s">
        <v>361</v>
      </c>
      <c r="AE419" s="358" t="s">
        <v>244</v>
      </c>
      <c r="AF419" s="359" t="str">
        <f>"CON-"&amp;A419</f>
        <v>CON-417</v>
      </c>
      <c r="AG419" s="270">
        <v>80111600</v>
      </c>
      <c r="AH419" s="249" t="s">
        <v>776</v>
      </c>
      <c r="AI419" s="301" t="s">
        <v>769</v>
      </c>
      <c r="AJ419" s="301" t="s">
        <v>769</v>
      </c>
      <c r="AK419" s="302">
        <v>2</v>
      </c>
      <c r="AL419" s="303" t="s">
        <v>241</v>
      </c>
      <c r="AM419" s="304" t="s">
        <v>242</v>
      </c>
      <c r="AN419" s="256">
        <v>6200000</v>
      </c>
      <c r="AO419" s="256">
        <f>AN419</f>
        <v>6200000</v>
      </c>
      <c r="AP419" s="303" t="s">
        <v>244</v>
      </c>
      <c r="AQ419" s="303" t="s">
        <v>245</v>
      </c>
      <c r="AR419" s="360" t="s">
        <v>246</v>
      </c>
      <c r="AS419" s="306" t="s">
        <v>247</v>
      </c>
      <c r="AT419" s="307" t="s">
        <v>48</v>
      </c>
      <c r="AU419" s="308" t="s">
        <v>248</v>
      </c>
      <c r="AV419" s="361" t="s">
        <v>249</v>
      </c>
      <c r="AW419" s="303" t="s">
        <v>244</v>
      </c>
      <c r="AX419" s="303" t="s">
        <v>244</v>
      </c>
      <c r="AY419" s="362" t="s">
        <v>250</v>
      </c>
      <c r="AZ419" s="363" t="s">
        <v>251</v>
      </c>
      <c r="BA419" s="363" t="s">
        <v>252</v>
      </c>
      <c r="BB419" s="363" t="s">
        <v>250</v>
      </c>
      <c r="BC419" s="363"/>
      <c r="BD419" s="363"/>
    </row>
    <row r="420" spans="1:56" ht="106.5" customHeight="1" x14ac:dyDescent="0.2">
      <c r="A420" s="436">
        <v>418</v>
      </c>
      <c r="B420" s="299" t="s">
        <v>63</v>
      </c>
      <c r="C420" s="299" t="s">
        <v>13</v>
      </c>
      <c r="D420" s="299" t="s">
        <v>74</v>
      </c>
      <c r="E420" s="299" t="s">
        <v>778</v>
      </c>
      <c r="F420" s="438" t="s">
        <v>383</v>
      </c>
      <c r="G420" s="438" t="s">
        <v>374</v>
      </c>
      <c r="H420" s="299" t="s">
        <v>67</v>
      </c>
      <c r="I420" s="299">
        <v>6</v>
      </c>
      <c r="J420" s="439">
        <v>5500000</v>
      </c>
      <c r="K420" s="300">
        <f t="shared" ref="K420:K428" si="278">IF(J420="",1,((L420/J420)-1))</f>
        <v>0.1272727272727272</v>
      </c>
      <c r="L420" s="441">
        <f>IF(H420="OTRO",(J420*1.05),VLOOKUP((I420&amp;H420),'[3]ESCALAS Salarios'!$D$2:$F$30,3,0))</f>
        <v>6200000</v>
      </c>
      <c r="M420" s="299">
        <v>1</v>
      </c>
      <c r="N420" s="299" t="s">
        <v>485</v>
      </c>
      <c r="O420" s="442">
        <v>45536</v>
      </c>
      <c r="P420" s="443">
        <v>45639</v>
      </c>
      <c r="Q420" s="444">
        <f t="shared" ref="Q420:Q428" si="279">IF($N420="MENSUAL",ROUND((((P420-O420))/30),0)*$L420*$M420,((P420-O420)/30)*$L420*$M420)</f>
        <v>21286666.666666664</v>
      </c>
      <c r="R420" s="442"/>
      <c r="S420" s="442"/>
      <c r="T420" s="444">
        <f t="shared" ref="T420:T428" si="280">IF($N420="MENSUAL",ROUND((((S420-R420))/30),0)*$L420,((S420-R420)/30)*$L420)</f>
        <v>0</v>
      </c>
      <c r="U420" s="445">
        <f t="shared" ref="U420:U428" si="281">ROUND((((P420-O420)+(S420-R420))/30),0)</f>
        <v>3</v>
      </c>
      <c r="V420" s="467">
        <f t="shared" ref="V420:V428" si="282">+Q420+T420</f>
        <v>21286666.666666664</v>
      </c>
      <c r="W420" s="446">
        <v>55000000</v>
      </c>
      <c r="X420" s="447">
        <f t="shared" ref="X420:X428" si="283">IF(W420="",1,((V420/W420)-1))</f>
        <v>-0.61296969696969694</v>
      </c>
      <c r="Y420" s="468">
        <v>1022374467</v>
      </c>
      <c r="Z420" s="469" t="s">
        <v>410</v>
      </c>
      <c r="AA420" s="450">
        <f t="shared" ref="AA420:AA428" si="284">+V420</f>
        <v>21286666.666666664</v>
      </c>
      <c r="AB420" s="451" t="s">
        <v>779</v>
      </c>
      <c r="AC420" s="473" t="s">
        <v>1</v>
      </c>
      <c r="AD420" s="452" t="s">
        <v>361</v>
      </c>
      <c r="AE420" s="452" t="s">
        <v>244</v>
      </c>
      <c r="AF420" s="453" t="str">
        <f>"PIC-"&amp;A420</f>
        <v>PIC-418</v>
      </c>
      <c r="AG420" s="270">
        <v>80111600</v>
      </c>
      <c r="AH420" s="454" t="s">
        <v>780</v>
      </c>
      <c r="AI420" s="301">
        <f t="shared" ref="AI420:AI428" si="285">+O420</f>
        <v>45536</v>
      </c>
      <c r="AJ420" s="301">
        <f t="shared" ref="AJ420:AJ428" si="286">+AI420</f>
        <v>45536</v>
      </c>
      <c r="AK420" s="302">
        <f t="shared" ref="AK420:AK428" si="287">+U420</f>
        <v>3</v>
      </c>
      <c r="AL420" s="303" t="s">
        <v>241</v>
      </c>
      <c r="AM420" s="304" t="s">
        <v>242</v>
      </c>
      <c r="AN420" s="305">
        <f t="shared" ref="AN420:AN428" si="288">+V420</f>
        <v>21286666.666666664</v>
      </c>
      <c r="AO420" s="305">
        <f t="shared" ref="AO420:AO428" si="289">+AN420</f>
        <v>21286666.666666664</v>
      </c>
      <c r="AP420" s="303" t="s">
        <v>244</v>
      </c>
      <c r="AQ420" s="303" t="s">
        <v>245</v>
      </c>
      <c r="AR420" s="460" t="s">
        <v>246</v>
      </c>
      <c r="AS420" s="306" t="s">
        <v>247</v>
      </c>
      <c r="AT420" s="307" t="str">
        <f t="shared" ref="AT420:AT428" si="290">D420</f>
        <v>DESPACHO VAC</v>
      </c>
      <c r="AU420" s="308" t="s">
        <v>248</v>
      </c>
      <c r="AV420" s="470" t="s">
        <v>249</v>
      </c>
      <c r="AW420" s="303" t="s">
        <v>244</v>
      </c>
      <c r="AX420" s="303" t="s">
        <v>244</v>
      </c>
      <c r="AY420" s="465" t="s">
        <v>250</v>
      </c>
      <c r="AZ420" s="466" t="s">
        <v>251</v>
      </c>
      <c r="BA420" s="466" t="s">
        <v>252</v>
      </c>
      <c r="BB420" s="466" t="s">
        <v>250</v>
      </c>
      <c r="BC420" s="466"/>
      <c r="BD420" s="466"/>
    </row>
    <row r="421" spans="1:56" ht="106.5" customHeight="1" x14ac:dyDescent="0.2">
      <c r="A421" s="257">
        <v>419</v>
      </c>
      <c r="B421" s="299" t="s">
        <v>63</v>
      </c>
      <c r="C421" s="299" t="s">
        <v>13</v>
      </c>
      <c r="D421" s="299" t="s">
        <v>74</v>
      </c>
      <c r="E421" s="299" t="s">
        <v>778</v>
      </c>
      <c r="F421" s="438" t="s">
        <v>383</v>
      </c>
      <c r="G421" s="438" t="s">
        <v>374</v>
      </c>
      <c r="H421" s="299" t="s">
        <v>69</v>
      </c>
      <c r="I421" s="299">
        <v>5</v>
      </c>
      <c r="J421" s="439">
        <v>5500000</v>
      </c>
      <c r="K421" s="300">
        <f t="shared" si="278"/>
        <v>-0.23636363636363633</v>
      </c>
      <c r="L421" s="441">
        <f>IF(H421="OTRO",(J421*1.05),VLOOKUP((I421&amp;H421),'[3]ESCALAS Salarios'!$D$2:$F$30,3,0))</f>
        <v>4200000</v>
      </c>
      <c r="M421" s="299">
        <v>1</v>
      </c>
      <c r="N421" s="299" t="s">
        <v>485</v>
      </c>
      <c r="O421" s="442">
        <v>45536</v>
      </c>
      <c r="P421" s="443">
        <v>45639</v>
      </c>
      <c r="Q421" s="444">
        <f t="shared" si="279"/>
        <v>14420000</v>
      </c>
      <c r="R421" s="442"/>
      <c r="S421" s="442"/>
      <c r="T421" s="444">
        <f t="shared" si="280"/>
        <v>0</v>
      </c>
      <c r="U421" s="445">
        <f t="shared" si="281"/>
        <v>3</v>
      </c>
      <c r="V421" s="467">
        <f t="shared" si="282"/>
        <v>14420000</v>
      </c>
      <c r="W421" s="446">
        <v>55000000</v>
      </c>
      <c r="X421" s="447">
        <f t="shared" si="283"/>
        <v>-0.73781818181818182</v>
      </c>
      <c r="Y421" s="468">
        <v>1022374467</v>
      </c>
      <c r="Z421" s="469" t="s">
        <v>410</v>
      </c>
      <c r="AA421" s="450">
        <f t="shared" si="284"/>
        <v>14420000</v>
      </c>
      <c r="AB421" s="451" t="s">
        <v>779</v>
      </c>
      <c r="AC421" s="473" t="s">
        <v>1</v>
      </c>
      <c r="AD421" s="452" t="s">
        <v>361</v>
      </c>
      <c r="AE421" s="452" t="s">
        <v>244</v>
      </c>
      <c r="AF421" s="453" t="str">
        <f t="shared" ref="AF421:AF428" si="291">"PIC-"&amp;A421</f>
        <v>PIC-419</v>
      </c>
      <c r="AG421" s="270">
        <v>80111600</v>
      </c>
      <c r="AH421" s="454" t="s">
        <v>781</v>
      </c>
      <c r="AI421" s="301">
        <f t="shared" si="285"/>
        <v>45536</v>
      </c>
      <c r="AJ421" s="301">
        <f t="shared" si="286"/>
        <v>45536</v>
      </c>
      <c r="AK421" s="302">
        <f t="shared" si="287"/>
        <v>3</v>
      </c>
      <c r="AL421" s="303" t="s">
        <v>241</v>
      </c>
      <c r="AM421" s="304" t="s">
        <v>242</v>
      </c>
      <c r="AN421" s="305">
        <f t="shared" si="288"/>
        <v>14420000</v>
      </c>
      <c r="AO421" s="305">
        <f t="shared" si="289"/>
        <v>14420000</v>
      </c>
      <c r="AP421" s="303" t="s">
        <v>244</v>
      </c>
      <c r="AQ421" s="303" t="s">
        <v>245</v>
      </c>
      <c r="AR421" s="460" t="s">
        <v>246</v>
      </c>
      <c r="AS421" s="306" t="s">
        <v>247</v>
      </c>
      <c r="AT421" s="307" t="str">
        <f t="shared" si="290"/>
        <v>DESPACHO VAC</v>
      </c>
      <c r="AU421" s="308" t="s">
        <v>248</v>
      </c>
      <c r="AV421" s="470" t="s">
        <v>249</v>
      </c>
      <c r="AW421" s="303" t="s">
        <v>244</v>
      </c>
      <c r="AX421" s="303" t="s">
        <v>244</v>
      </c>
      <c r="AY421" s="465" t="s">
        <v>250</v>
      </c>
      <c r="AZ421" s="466" t="s">
        <v>251</v>
      </c>
      <c r="BA421" s="466" t="s">
        <v>252</v>
      </c>
      <c r="BB421" s="466" t="s">
        <v>250</v>
      </c>
      <c r="BC421" s="466"/>
      <c r="BD421" s="466"/>
    </row>
    <row r="422" spans="1:56" ht="106.5" customHeight="1" x14ac:dyDescent="0.2">
      <c r="A422" s="298">
        <v>420</v>
      </c>
      <c r="B422" s="299" t="s">
        <v>63</v>
      </c>
      <c r="C422" s="299" t="s">
        <v>13</v>
      </c>
      <c r="D422" s="299" t="s">
        <v>74</v>
      </c>
      <c r="E422" s="299" t="s">
        <v>778</v>
      </c>
      <c r="F422" s="438" t="s">
        <v>383</v>
      </c>
      <c r="G422" s="438" t="s">
        <v>374</v>
      </c>
      <c r="H422" s="299" t="s">
        <v>70</v>
      </c>
      <c r="I422" s="299">
        <v>5</v>
      </c>
      <c r="J422" s="439">
        <v>5500000</v>
      </c>
      <c r="K422" s="300">
        <f t="shared" si="278"/>
        <v>-0.47272727272727277</v>
      </c>
      <c r="L422" s="441">
        <f>IF(H422="OTRO",(J422*1.05),VLOOKUP((I422&amp;H422),'[3]ESCALAS Salarios'!$D$2:$F$30,3,0))</f>
        <v>2900000</v>
      </c>
      <c r="M422" s="299">
        <v>1</v>
      </c>
      <c r="N422" s="299" t="s">
        <v>485</v>
      </c>
      <c r="O422" s="442">
        <v>45536</v>
      </c>
      <c r="P422" s="443">
        <v>45639</v>
      </c>
      <c r="Q422" s="444">
        <f t="shared" si="279"/>
        <v>9956666.666666666</v>
      </c>
      <c r="R422" s="442"/>
      <c r="S422" s="442"/>
      <c r="T422" s="444">
        <f t="shared" si="280"/>
        <v>0</v>
      </c>
      <c r="U422" s="445">
        <f t="shared" si="281"/>
        <v>3</v>
      </c>
      <c r="V422" s="467">
        <f t="shared" si="282"/>
        <v>9956666.666666666</v>
      </c>
      <c r="W422" s="446">
        <v>55000000</v>
      </c>
      <c r="X422" s="447">
        <f t="shared" si="283"/>
        <v>-0.81896969696969701</v>
      </c>
      <c r="Y422" s="468">
        <v>1022374467</v>
      </c>
      <c r="Z422" s="469" t="s">
        <v>410</v>
      </c>
      <c r="AA422" s="450">
        <f t="shared" si="284"/>
        <v>9956666.666666666</v>
      </c>
      <c r="AB422" s="451" t="s">
        <v>779</v>
      </c>
      <c r="AC422" s="473" t="s">
        <v>1</v>
      </c>
      <c r="AD422" s="452" t="s">
        <v>361</v>
      </c>
      <c r="AE422" s="452" t="s">
        <v>244</v>
      </c>
      <c r="AF422" s="453" t="str">
        <f t="shared" si="291"/>
        <v>PIC-420</v>
      </c>
      <c r="AG422" s="270">
        <v>80111600</v>
      </c>
      <c r="AH422" s="454" t="s">
        <v>782</v>
      </c>
      <c r="AI422" s="301">
        <f t="shared" si="285"/>
        <v>45536</v>
      </c>
      <c r="AJ422" s="301">
        <f t="shared" si="286"/>
        <v>45536</v>
      </c>
      <c r="AK422" s="302">
        <f t="shared" si="287"/>
        <v>3</v>
      </c>
      <c r="AL422" s="303" t="s">
        <v>241</v>
      </c>
      <c r="AM422" s="304" t="s">
        <v>242</v>
      </c>
      <c r="AN422" s="305">
        <f t="shared" si="288"/>
        <v>9956666.666666666</v>
      </c>
      <c r="AO422" s="305">
        <f t="shared" si="289"/>
        <v>9956666.666666666</v>
      </c>
      <c r="AP422" s="303" t="s">
        <v>244</v>
      </c>
      <c r="AQ422" s="303" t="s">
        <v>245</v>
      </c>
      <c r="AR422" s="460" t="s">
        <v>246</v>
      </c>
      <c r="AS422" s="306" t="s">
        <v>247</v>
      </c>
      <c r="AT422" s="307" t="str">
        <f t="shared" si="290"/>
        <v>DESPACHO VAC</v>
      </c>
      <c r="AU422" s="308" t="s">
        <v>248</v>
      </c>
      <c r="AV422" s="470" t="s">
        <v>249</v>
      </c>
      <c r="AW422" s="303" t="s">
        <v>244</v>
      </c>
      <c r="AX422" s="303" t="s">
        <v>244</v>
      </c>
      <c r="AY422" s="465" t="s">
        <v>250</v>
      </c>
      <c r="AZ422" s="466" t="s">
        <v>251</v>
      </c>
      <c r="BA422" s="466" t="s">
        <v>252</v>
      </c>
      <c r="BB422" s="466" t="s">
        <v>250</v>
      </c>
      <c r="BC422" s="466"/>
      <c r="BD422" s="466"/>
    </row>
    <row r="423" spans="1:56" ht="106.5" customHeight="1" x14ac:dyDescent="0.2">
      <c r="A423" s="436">
        <v>421</v>
      </c>
      <c r="B423" s="299" t="s">
        <v>63</v>
      </c>
      <c r="C423" s="299" t="s">
        <v>13</v>
      </c>
      <c r="D423" s="299" t="s">
        <v>74</v>
      </c>
      <c r="E423" s="299" t="s">
        <v>778</v>
      </c>
      <c r="F423" s="438" t="s">
        <v>383</v>
      </c>
      <c r="G423" s="438" t="s">
        <v>374</v>
      </c>
      <c r="H423" s="299" t="s">
        <v>70</v>
      </c>
      <c r="I423" s="299">
        <v>5</v>
      </c>
      <c r="J423" s="439">
        <v>5500000</v>
      </c>
      <c r="K423" s="300">
        <f t="shared" si="278"/>
        <v>-0.47272727272727277</v>
      </c>
      <c r="L423" s="441">
        <f>IF(H423="OTRO",(J423*1.05),VLOOKUP((I423&amp;H423),'[3]ESCALAS Salarios'!$D$2:$F$30,3,0))</f>
        <v>2900000</v>
      </c>
      <c r="M423" s="299">
        <v>1</v>
      </c>
      <c r="N423" s="299" t="s">
        <v>485</v>
      </c>
      <c r="O423" s="442">
        <v>45536</v>
      </c>
      <c r="P423" s="443">
        <v>45639</v>
      </c>
      <c r="Q423" s="444">
        <f t="shared" si="279"/>
        <v>9956666.666666666</v>
      </c>
      <c r="R423" s="442"/>
      <c r="S423" s="442"/>
      <c r="T423" s="444">
        <f t="shared" si="280"/>
        <v>0</v>
      </c>
      <c r="U423" s="445">
        <f t="shared" si="281"/>
        <v>3</v>
      </c>
      <c r="V423" s="467">
        <f t="shared" si="282"/>
        <v>9956666.666666666</v>
      </c>
      <c r="W423" s="446">
        <v>55000000</v>
      </c>
      <c r="X423" s="447">
        <f t="shared" si="283"/>
        <v>-0.81896969696969701</v>
      </c>
      <c r="Y423" s="468">
        <v>1022374467</v>
      </c>
      <c r="Z423" s="469" t="s">
        <v>410</v>
      </c>
      <c r="AA423" s="450">
        <f t="shared" si="284"/>
        <v>9956666.666666666</v>
      </c>
      <c r="AB423" s="451" t="s">
        <v>779</v>
      </c>
      <c r="AC423" s="473" t="s">
        <v>1</v>
      </c>
      <c r="AD423" s="452" t="s">
        <v>361</v>
      </c>
      <c r="AE423" s="452" t="s">
        <v>244</v>
      </c>
      <c r="AF423" s="453" t="str">
        <f t="shared" si="291"/>
        <v>PIC-421</v>
      </c>
      <c r="AG423" s="270">
        <v>80111600</v>
      </c>
      <c r="AH423" s="454" t="s">
        <v>783</v>
      </c>
      <c r="AI423" s="301">
        <f t="shared" si="285"/>
        <v>45536</v>
      </c>
      <c r="AJ423" s="301">
        <f t="shared" si="286"/>
        <v>45536</v>
      </c>
      <c r="AK423" s="302">
        <f t="shared" si="287"/>
        <v>3</v>
      </c>
      <c r="AL423" s="303" t="s">
        <v>241</v>
      </c>
      <c r="AM423" s="304" t="s">
        <v>242</v>
      </c>
      <c r="AN423" s="305">
        <f t="shared" si="288"/>
        <v>9956666.666666666</v>
      </c>
      <c r="AO423" s="305">
        <f t="shared" si="289"/>
        <v>9956666.666666666</v>
      </c>
      <c r="AP423" s="303" t="s">
        <v>244</v>
      </c>
      <c r="AQ423" s="303" t="s">
        <v>245</v>
      </c>
      <c r="AR423" s="460" t="s">
        <v>246</v>
      </c>
      <c r="AS423" s="306" t="s">
        <v>247</v>
      </c>
      <c r="AT423" s="307" t="str">
        <f t="shared" si="290"/>
        <v>DESPACHO VAC</v>
      </c>
      <c r="AU423" s="308" t="s">
        <v>248</v>
      </c>
      <c r="AV423" s="470" t="s">
        <v>249</v>
      </c>
      <c r="AW423" s="303" t="s">
        <v>244</v>
      </c>
      <c r="AX423" s="303" t="s">
        <v>244</v>
      </c>
      <c r="AY423" s="465" t="s">
        <v>250</v>
      </c>
      <c r="AZ423" s="466" t="s">
        <v>251</v>
      </c>
      <c r="BA423" s="466" t="s">
        <v>252</v>
      </c>
      <c r="BB423" s="466" t="s">
        <v>250</v>
      </c>
      <c r="BC423" s="466"/>
      <c r="BD423" s="466"/>
    </row>
    <row r="424" spans="1:56" ht="106.5" customHeight="1" x14ac:dyDescent="0.2">
      <c r="A424" s="257">
        <v>422</v>
      </c>
      <c r="B424" s="299" t="s">
        <v>63</v>
      </c>
      <c r="C424" s="299" t="s">
        <v>13</v>
      </c>
      <c r="D424" s="299" t="s">
        <v>74</v>
      </c>
      <c r="E424" s="299" t="s">
        <v>778</v>
      </c>
      <c r="F424" s="438" t="s">
        <v>383</v>
      </c>
      <c r="G424" s="438" t="s">
        <v>374</v>
      </c>
      <c r="H424" s="299" t="s">
        <v>70</v>
      </c>
      <c r="I424" s="299">
        <v>5</v>
      </c>
      <c r="J424" s="439">
        <v>5500000</v>
      </c>
      <c r="K424" s="300">
        <f t="shared" si="278"/>
        <v>-0.47272727272727277</v>
      </c>
      <c r="L424" s="441">
        <f>IF(H424="OTRO",(J424*1.05),VLOOKUP((I424&amp;H424),'[3]ESCALAS Salarios'!$D$2:$F$30,3,0))</f>
        <v>2900000</v>
      </c>
      <c r="M424" s="299">
        <v>1</v>
      </c>
      <c r="N424" s="299" t="s">
        <v>485</v>
      </c>
      <c r="O424" s="442">
        <v>45536</v>
      </c>
      <c r="P424" s="443">
        <v>45639</v>
      </c>
      <c r="Q424" s="444">
        <f t="shared" si="279"/>
        <v>9956666.666666666</v>
      </c>
      <c r="R424" s="442"/>
      <c r="S424" s="442"/>
      <c r="T424" s="444">
        <f t="shared" si="280"/>
        <v>0</v>
      </c>
      <c r="U424" s="445">
        <f t="shared" si="281"/>
        <v>3</v>
      </c>
      <c r="V424" s="467">
        <f t="shared" si="282"/>
        <v>9956666.666666666</v>
      </c>
      <c r="W424" s="446">
        <v>55000000</v>
      </c>
      <c r="X424" s="447">
        <f t="shared" si="283"/>
        <v>-0.81896969696969701</v>
      </c>
      <c r="Y424" s="468">
        <v>1022374467</v>
      </c>
      <c r="Z424" s="469" t="s">
        <v>410</v>
      </c>
      <c r="AA424" s="450">
        <f t="shared" si="284"/>
        <v>9956666.666666666</v>
      </c>
      <c r="AB424" s="451" t="s">
        <v>779</v>
      </c>
      <c r="AC424" s="473" t="s">
        <v>1</v>
      </c>
      <c r="AD424" s="452" t="s">
        <v>361</v>
      </c>
      <c r="AE424" s="452" t="s">
        <v>244</v>
      </c>
      <c r="AF424" s="453" t="str">
        <f t="shared" si="291"/>
        <v>PIC-422</v>
      </c>
      <c r="AG424" s="270">
        <v>80111600</v>
      </c>
      <c r="AH424" s="454" t="s">
        <v>784</v>
      </c>
      <c r="AI424" s="301">
        <f t="shared" si="285"/>
        <v>45536</v>
      </c>
      <c r="AJ424" s="301">
        <f t="shared" si="286"/>
        <v>45536</v>
      </c>
      <c r="AK424" s="302">
        <f t="shared" si="287"/>
        <v>3</v>
      </c>
      <c r="AL424" s="303" t="s">
        <v>241</v>
      </c>
      <c r="AM424" s="304" t="s">
        <v>242</v>
      </c>
      <c r="AN424" s="305">
        <f t="shared" si="288"/>
        <v>9956666.666666666</v>
      </c>
      <c r="AO424" s="305">
        <f t="shared" si="289"/>
        <v>9956666.666666666</v>
      </c>
      <c r="AP424" s="303" t="s">
        <v>244</v>
      </c>
      <c r="AQ424" s="303" t="s">
        <v>245</v>
      </c>
      <c r="AR424" s="460" t="s">
        <v>246</v>
      </c>
      <c r="AS424" s="306" t="s">
        <v>247</v>
      </c>
      <c r="AT424" s="307" t="str">
        <f t="shared" si="290"/>
        <v>DESPACHO VAC</v>
      </c>
      <c r="AU424" s="308" t="s">
        <v>248</v>
      </c>
      <c r="AV424" s="470" t="s">
        <v>249</v>
      </c>
      <c r="AW424" s="303" t="s">
        <v>244</v>
      </c>
      <c r="AX424" s="303" t="s">
        <v>244</v>
      </c>
      <c r="AY424" s="465" t="s">
        <v>250</v>
      </c>
      <c r="AZ424" s="466" t="s">
        <v>251</v>
      </c>
      <c r="BA424" s="466" t="s">
        <v>252</v>
      </c>
      <c r="BB424" s="466" t="s">
        <v>250</v>
      </c>
      <c r="BC424" s="466"/>
      <c r="BD424" s="466"/>
    </row>
    <row r="425" spans="1:56" ht="106.5" customHeight="1" x14ac:dyDescent="0.2">
      <c r="A425" s="298">
        <v>423</v>
      </c>
      <c r="B425" s="299" t="s">
        <v>63</v>
      </c>
      <c r="C425" s="299" t="s">
        <v>13</v>
      </c>
      <c r="D425" s="299" t="s">
        <v>74</v>
      </c>
      <c r="E425" s="299" t="s">
        <v>778</v>
      </c>
      <c r="F425" s="438" t="s">
        <v>383</v>
      </c>
      <c r="G425" s="438" t="s">
        <v>374</v>
      </c>
      <c r="H425" s="299" t="s">
        <v>69</v>
      </c>
      <c r="I425" s="299">
        <v>5</v>
      </c>
      <c r="J425" s="439">
        <v>5500000</v>
      </c>
      <c r="K425" s="300">
        <f t="shared" si="278"/>
        <v>-0.23636363636363633</v>
      </c>
      <c r="L425" s="441">
        <f>IF(H425="OTRO",(J425*1.05),VLOOKUP((I425&amp;H425),'[3]ESCALAS Salarios'!$D$2:$F$30,3,0))</f>
        <v>4200000</v>
      </c>
      <c r="M425" s="299">
        <v>1</v>
      </c>
      <c r="N425" s="299" t="s">
        <v>485</v>
      </c>
      <c r="O425" s="442">
        <v>45536</v>
      </c>
      <c r="P425" s="443">
        <v>45639</v>
      </c>
      <c r="Q425" s="444">
        <f t="shared" si="279"/>
        <v>14420000</v>
      </c>
      <c r="R425" s="442"/>
      <c r="S425" s="442"/>
      <c r="T425" s="444">
        <f t="shared" si="280"/>
        <v>0</v>
      </c>
      <c r="U425" s="445">
        <f t="shared" si="281"/>
        <v>3</v>
      </c>
      <c r="V425" s="467">
        <f t="shared" si="282"/>
        <v>14420000</v>
      </c>
      <c r="W425" s="446">
        <v>55000000</v>
      </c>
      <c r="X425" s="447">
        <f t="shared" si="283"/>
        <v>-0.73781818181818182</v>
      </c>
      <c r="Y425" s="468">
        <v>1022374467</v>
      </c>
      <c r="Z425" s="469" t="s">
        <v>410</v>
      </c>
      <c r="AA425" s="450">
        <f t="shared" si="284"/>
        <v>14420000</v>
      </c>
      <c r="AB425" s="451" t="s">
        <v>779</v>
      </c>
      <c r="AC425" s="473" t="s">
        <v>1</v>
      </c>
      <c r="AD425" s="452" t="s">
        <v>361</v>
      </c>
      <c r="AE425" s="452" t="s">
        <v>244</v>
      </c>
      <c r="AF425" s="453" t="str">
        <f t="shared" si="291"/>
        <v>PIC-423</v>
      </c>
      <c r="AG425" s="270">
        <v>80111600</v>
      </c>
      <c r="AH425" s="454" t="s">
        <v>793</v>
      </c>
      <c r="AI425" s="301">
        <f t="shared" si="285"/>
        <v>45536</v>
      </c>
      <c r="AJ425" s="301">
        <f t="shared" si="286"/>
        <v>45536</v>
      </c>
      <c r="AK425" s="302">
        <f t="shared" si="287"/>
        <v>3</v>
      </c>
      <c r="AL425" s="303" t="s">
        <v>241</v>
      </c>
      <c r="AM425" s="304" t="s">
        <v>242</v>
      </c>
      <c r="AN425" s="305">
        <f t="shared" si="288"/>
        <v>14420000</v>
      </c>
      <c r="AO425" s="305">
        <f t="shared" si="289"/>
        <v>14420000</v>
      </c>
      <c r="AP425" s="303" t="s">
        <v>244</v>
      </c>
      <c r="AQ425" s="303" t="s">
        <v>245</v>
      </c>
      <c r="AR425" s="460" t="s">
        <v>246</v>
      </c>
      <c r="AS425" s="306" t="s">
        <v>247</v>
      </c>
      <c r="AT425" s="307" t="str">
        <f t="shared" si="290"/>
        <v>DESPACHO VAC</v>
      </c>
      <c r="AU425" s="308" t="s">
        <v>248</v>
      </c>
      <c r="AV425" s="470" t="s">
        <v>249</v>
      </c>
      <c r="AW425" s="303" t="s">
        <v>244</v>
      </c>
      <c r="AX425" s="303" t="s">
        <v>244</v>
      </c>
      <c r="AY425" s="465" t="s">
        <v>250</v>
      </c>
      <c r="AZ425" s="466" t="s">
        <v>251</v>
      </c>
      <c r="BA425" s="466" t="s">
        <v>252</v>
      </c>
      <c r="BB425" s="466" t="s">
        <v>250</v>
      </c>
      <c r="BC425" s="466"/>
      <c r="BD425" s="466"/>
    </row>
    <row r="426" spans="1:56" ht="74.25" customHeight="1" x14ac:dyDescent="0.2">
      <c r="A426" s="436">
        <v>424</v>
      </c>
      <c r="B426" s="299" t="s">
        <v>63</v>
      </c>
      <c r="C426" s="299" t="s">
        <v>13</v>
      </c>
      <c r="D426" s="299" t="s">
        <v>74</v>
      </c>
      <c r="E426" s="299" t="s">
        <v>778</v>
      </c>
      <c r="F426" s="438" t="s">
        <v>383</v>
      </c>
      <c r="G426" s="438" t="s">
        <v>374</v>
      </c>
      <c r="H426" s="299" t="s">
        <v>69</v>
      </c>
      <c r="I426" s="299">
        <v>6</v>
      </c>
      <c r="J426" s="441">
        <v>2600000</v>
      </c>
      <c r="K426" s="300">
        <f t="shared" si="278"/>
        <v>0.69230769230769229</v>
      </c>
      <c r="L426" s="441">
        <f>IF(H426="OTRO",(J426*1.05),VLOOKUP((I426&amp;H426),'[3]ESCALAS Salarios'!$D$2:$F$30,3,0))</f>
        <v>4400000</v>
      </c>
      <c r="M426" s="299">
        <v>1</v>
      </c>
      <c r="N426" s="299" t="s">
        <v>485</v>
      </c>
      <c r="O426" s="471">
        <v>45536</v>
      </c>
      <c r="P426" s="443">
        <v>45639</v>
      </c>
      <c r="Q426" s="444">
        <f t="shared" si="279"/>
        <v>15106666.666666666</v>
      </c>
      <c r="R426" s="442"/>
      <c r="S426" s="442"/>
      <c r="T426" s="444">
        <f t="shared" si="280"/>
        <v>0</v>
      </c>
      <c r="U426" s="445">
        <f t="shared" si="281"/>
        <v>3</v>
      </c>
      <c r="V426" s="467">
        <f t="shared" si="282"/>
        <v>15106666.666666666</v>
      </c>
      <c r="W426" s="446">
        <v>42000000</v>
      </c>
      <c r="X426" s="447">
        <f t="shared" si="283"/>
        <v>-0.6403174603174604</v>
      </c>
      <c r="Y426" s="468">
        <v>21066255</v>
      </c>
      <c r="Z426" s="469" t="s">
        <v>411</v>
      </c>
      <c r="AA426" s="450">
        <f t="shared" si="284"/>
        <v>15106666.666666666</v>
      </c>
      <c r="AB426" s="451" t="s">
        <v>779</v>
      </c>
      <c r="AC426" s="477" t="s">
        <v>1</v>
      </c>
      <c r="AD426" s="452" t="s">
        <v>361</v>
      </c>
      <c r="AE426" s="452" t="s">
        <v>244</v>
      </c>
      <c r="AF426" s="453" t="str">
        <f t="shared" si="291"/>
        <v>PIC-424</v>
      </c>
      <c r="AG426" s="270">
        <v>80111600</v>
      </c>
      <c r="AH426" s="454" t="s">
        <v>785</v>
      </c>
      <c r="AI426" s="301">
        <f t="shared" si="285"/>
        <v>45536</v>
      </c>
      <c r="AJ426" s="301">
        <f t="shared" si="286"/>
        <v>45536</v>
      </c>
      <c r="AK426" s="302">
        <f t="shared" si="287"/>
        <v>3</v>
      </c>
      <c r="AL426" s="303" t="s">
        <v>241</v>
      </c>
      <c r="AM426" s="304" t="s">
        <v>242</v>
      </c>
      <c r="AN426" s="305">
        <f t="shared" si="288"/>
        <v>15106666.666666666</v>
      </c>
      <c r="AO426" s="305">
        <f t="shared" si="289"/>
        <v>15106666.666666666</v>
      </c>
      <c r="AP426" s="303" t="s">
        <v>244</v>
      </c>
      <c r="AQ426" s="303" t="s">
        <v>245</v>
      </c>
      <c r="AR426" s="460" t="s">
        <v>246</v>
      </c>
      <c r="AS426" s="306" t="s">
        <v>247</v>
      </c>
      <c r="AT426" s="307" t="str">
        <f t="shared" si="290"/>
        <v>DESPACHO VAC</v>
      </c>
      <c r="AU426" s="308" t="s">
        <v>248</v>
      </c>
      <c r="AV426" s="470" t="s">
        <v>249</v>
      </c>
      <c r="AW426" s="303" t="s">
        <v>244</v>
      </c>
      <c r="AX426" s="303" t="s">
        <v>244</v>
      </c>
      <c r="AY426" s="465" t="s">
        <v>250</v>
      </c>
      <c r="AZ426" s="466" t="s">
        <v>251</v>
      </c>
      <c r="BA426" s="466" t="s">
        <v>252</v>
      </c>
      <c r="BB426" s="466" t="s">
        <v>250</v>
      </c>
      <c r="BC426" s="466"/>
      <c r="BD426" s="466"/>
    </row>
    <row r="427" spans="1:56" ht="74.25" customHeight="1" x14ac:dyDescent="0.2">
      <c r="A427" s="257">
        <v>425</v>
      </c>
      <c r="B427" s="299" t="s">
        <v>63</v>
      </c>
      <c r="C427" s="299" t="s">
        <v>13</v>
      </c>
      <c r="D427" s="299" t="s">
        <v>74</v>
      </c>
      <c r="E427" s="299" t="s">
        <v>778</v>
      </c>
      <c r="F427" s="438" t="s">
        <v>383</v>
      </c>
      <c r="G427" s="438" t="s">
        <v>374</v>
      </c>
      <c r="H427" s="299" t="s">
        <v>69</v>
      </c>
      <c r="I427" s="299">
        <v>5</v>
      </c>
      <c r="J427" s="441">
        <v>2600000</v>
      </c>
      <c r="K427" s="300">
        <f t="shared" si="278"/>
        <v>0.61538461538461542</v>
      </c>
      <c r="L427" s="441">
        <f>IF(H427="OTRO",(J427*1.05),VLOOKUP((I427&amp;H427),'[3]ESCALAS Salarios'!$D$2:$F$30,3,0))</f>
        <v>4200000</v>
      </c>
      <c r="M427" s="299">
        <v>1</v>
      </c>
      <c r="N427" s="299" t="s">
        <v>485</v>
      </c>
      <c r="O427" s="471">
        <v>45536</v>
      </c>
      <c r="P427" s="443">
        <v>45639</v>
      </c>
      <c r="Q427" s="444">
        <f t="shared" si="279"/>
        <v>14420000</v>
      </c>
      <c r="R427" s="442"/>
      <c r="S427" s="442"/>
      <c r="T427" s="444">
        <f t="shared" si="280"/>
        <v>0</v>
      </c>
      <c r="U427" s="445">
        <f t="shared" si="281"/>
        <v>3</v>
      </c>
      <c r="V427" s="467">
        <f t="shared" si="282"/>
        <v>14420000</v>
      </c>
      <c r="W427" s="446">
        <v>42000000</v>
      </c>
      <c r="X427" s="447">
        <f t="shared" si="283"/>
        <v>-0.65666666666666673</v>
      </c>
      <c r="Y427" s="468">
        <v>21066255</v>
      </c>
      <c r="Z427" s="469" t="s">
        <v>411</v>
      </c>
      <c r="AA427" s="450">
        <f t="shared" si="284"/>
        <v>14420000</v>
      </c>
      <c r="AB427" s="451" t="s">
        <v>779</v>
      </c>
      <c r="AC427" s="477" t="s">
        <v>1</v>
      </c>
      <c r="AD427" s="452" t="s">
        <v>361</v>
      </c>
      <c r="AE427" s="452" t="s">
        <v>244</v>
      </c>
      <c r="AF427" s="453" t="str">
        <f t="shared" si="291"/>
        <v>PIC-425</v>
      </c>
      <c r="AG427" s="270">
        <v>80111600</v>
      </c>
      <c r="AH427" s="454" t="s">
        <v>786</v>
      </c>
      <c r="AI427" s="301">
        <f t="shared" si="285"/>
        <v>45536</v>
      </c>
      <c r="AJ427" s="301">
        <f t="shared" si="286"/>
        <v>45536</v>
      </c>
      <c r="AK427" s="302">
        <f t="shared" si="287"/>
        <v>3</v>
      </c>
      <c r="AL427" s="303" t="s">
        <v>241</v>
      </c>
      <c r="AM427" s="304" t="s">
        <v>242</v>
      </c>
      <c r="AN427" s="305">
        <f t="shared" si="288"/>
        <v>14420000</v>
      </c>
      <c r="AO427" s="305">
        <f t="shared" si="289"/>
        <v>14420000</v>
      </c>
      <c r="AP427" s="303" t="s">
        <v>244</v>
      </c>
      <c r="AQ427" s="303" t="s">
        <v>245</v>
      </c>
      <c r="AR427" s="460" t="s">
        <v>246</v>
      </c>
      <c r="AS427" s="306" t="s">
        <v>247</v>
      </c>
      <c r="AT427" s="307" t="str">
        <f t="shared" si="290"/>
        <v>DESPACHO VAC</v>
      </c>
      <c r="AU427" s="308" t="s">
        <v>248</v>
      </c>
      <c r="AV427" s="470" t="s">
        <v>249</v>
      </c>
      <c r="AW427" s="303" t="s">
        <v>244</v>
      </c>
      <c r="AX427" s="303" t="s">
        <v>244</v>
      </c>
      <c r="AY427" s="465" t="s">
        <v>250</v>
      </c>
      <c r="AZ427" s="466" t="s">
        <v>251</v>
      </c>
      <c r="BA427" s="466" t="s">
        <v>252</v>
      </c>
      <c r="BB427" s="466" t="s">
        <v>250</v>
      </c>
      <c r="BC427" s="466"/>
      <c r="BD427" s="466"/>
    </row>
    <row r="428" spans="1:56" ht="74.25" customHeight="1" x14ac:dyDescent="0.2">
      <c r="A428" s="298">
        <v>426</v>
      </c>
      <c r="B428" s="299" t="s">
        <v>63</v>
      </c>
      <c r="C428" s="299" t="s">
        <v>13</v>
      </c>
      <c r="D428" s="299" t="s">
        <v>74</v>
      </c>
      <c r="E428" s="299" t="s">
        <v>778</v>
      </c>
      <c r="F428" s="438" t="s">
        <v>383</v>
      </c>
      <c r="G428" s="438" t="s">
        <v>374</v>
      </c>
      <c r="H428" s="299" t="s">
        <v>69</v>
      </c>
      <c r="I428" s="299">
        <v>5</v>
      </c>
      <c r="J428" s="441">
        <v>2600000</v>
      </c>
      <c r="K428" s="300">
        <f t="shared" si="278"/>
        <v>0.61538461538461542</v>
      </c>
      <c r="L428" s="441">
        <f>IF(H428="OTRO",(J428*1.05),VLOOKUP((I428&amp;H428),'[3]ESCALAS Salarios'!$D$2:$F$30,3,0))</f>
        <v>4200000</v>
      </c>
      <c r="M428" s="299">
        <v>1</v>
      </c>
      <c r="N428" s="299" t="s">
        <v>485</v>
      </c>
      <c r="O428" s="471">
        <v>45536</v>
      </c>
      <c r="P428" s="443">
        <v>45639</v>
      </c>
      <c r="Q428" s="444">
        <f t="shared" si="279"/>
        <v>14420000</v>
      </c>
      <c r="R428" s="442"/>
      <c r="S428" s="442"/>
      <c r="T428" s="444">
        <f t="shared" si="280"/>
        <v>0</v>
      </c>
      <c r="U428" s="445">
        <f t="shared" si="281"/>
        <v>3</v>
      </c>
      <c r="V428" s="467">
        <f t="shared" si="282"/>
        <v>14420000</v>
      </c>
      <c r="W428" s="446">
        <v>42000000</v>
      </c>
      <c r="X428" s="447">
        <f t="shared" si="283"/>
        <v>-0.65666666666666673</v>
      </c>
      <c r="Y428" s="468">
        <v>21066255</v>
      </c>
      <c r="Z428" s="469" t="s">
        <v>411</v>
      </c>
      <c r="AA428" s="450">
        <f t="shared" si="284"/>
        <v>14420000</v>
      </c>
      <c r="AB428" s="451" t="s">
        <v>779</v>
      </c>
      <c r="AC428" s="477" t="s">
        <v>1</v>
      </c>
      <c r="AD428" s="452" t="s">
        <v>361</v>
      </c>
      <c r="AE428" s="452" t="s">
        <v>244</v>
      </c>
      <c r="AF428" s="453" t="str">
        <f t="shared" si="291"/>
        <v>PIC-426</v>
      </c>
      <c r="AG428" s="270">
        <v>80111600</v>
      </c>
      <c r="AH428" s="454" t="s">
        <v>787</v>
      </c>
      <c r="AI428" s="301">
        <f t="shared" si="285"/>
        <v>45536</v>
      </c>
      <c r="AJ428" s="301">
        <f t="shared" si="286"/>
        <v>45536</v>
      </c>
      <c r="AK428" s="302">
        <f t="shared" si="287"/>
        <v>3</v>
      </c>
      <c r="AL428" s="303" t="s">
        <v>241</v>
      </c>
      <c r="AM428" s="304" t="s">
        <v>242</v>
      </c>
      <c r="AN428" s="305">
        <f t="shared" si="288"/>
        <v>14420000</v>
      </c>
      <c r="AO428" s="305">
        <f t="shared" si="289"/>
        <v>14420000</v>
      </c>
      <c r="AP428" s="303" t="s">
        <v>244</v>
      </c>
      <c r="AQ428" s="303" t="s">
        <v>245</v>
      </c>
      <c r="AR428" s="460" t="s">
        <v>246</v>
      </c>
      <c r="AS428" s="306" t="s">
        <v>247</v>
      </c>
      <c r="AT428" s="307" t="str">
        <f t="shared" si="290"/>
        <v>DESPACHO VAC</v>
      </c>
      <c r="AU428" s="308" t="s">
        <v>248</v>
      </c>
      <c r="AV428" s="470" t="s">
        <v>249</v>
      </c>
      <c r="AW428" s="303" t="s">
        <v>244</v>
      </c>
      <c r="AX428" s="303" t="s">
        <v>244</v>
      </c>
      <c r="AY428" s="465" t="s">
        <v>250</v>
      </c>
      <c r="AZ428" s="466" t="s">
        <v>251</v>
      </c>
      <c r="BA428" s="466" t="s">
        <v>252</v>
      </c>
      <c r="BB428" s="466" t="s">
        <v>250</v>
      </c>
      <c r="BC428" s="466"/>
      <c r="BD428" s="466"/>
    </row>
    <row r="429" spans="1:56" customFormat="1" ht="60" x14ac:dyDescent="0.25">
      <c r="A429" s="298">
        <v>427</v>
      </c>
      <c r="B429" s="299" t="s">
        <v>90</v>
      </c>
      <c r="C429" s="299" t="s">
        <v>78</v>
      </c>
      <c r="D429" s="299" t="s">
        <v>375</v>
      </c>
      <c r="E429" s="299"/>
      <c r="F429" s="438" t="s">
        <v>383</v>
      </c>
      <c r="G429" s="438" t="s">
        <v>374</v>
      </c>
      <c r="H429" s="45" t="s">
        <v>69</v>
      </c>
      <c r="I429" s="299"/>
      <c r="J429" s="251">
        <v>1967592.5925925926</v>
      </c>
      <c r="K429" s="300">
        <v>5.0000000000000044E-2</v>
      </c>
      <c r="L429" s="441" t="s">
        <v>713</v>
      </c>
      <c r="M429" s="299">
        <v>1</v>
      </c>
      <c r="N429" s="299" t="s">
        <v>686</v>
      </c>
      <c r="O429" s="442">
        <v>45419</v>
      </c>
      <c r="P429" s="443">
        <v>45472</v>
      </c>
      <c r="Q429" s="444">
        <v>1844724</v>
      </c>
      <c r="R429" s="472"/>
      <c r="S429" s="472"/>
      <c r="T429" s="444">
        <v>0</v>
      </c>
      <c r="U429" s="445">
        <v>2</v>
      </c>
      <c r="V429" s="467">
        <v>1844724</v>
      </c>
      <c r="W429" s="450">
        <v>1750000000</v>
      </c>
      <c r="X429" s="447">
        <v>-0.43899999999999995</v>
      </c>
      <c r="Y429" s="449"/>
      <c r="Z429" s="449" t="s">
        <v>376</v>
      </c>
      <c r="AA429" s="450">
        <v>981750000</v>
      </c>
      <c r="AB429" s="451" t="s">
        <v>243</v>
      </c>
      <c r="AC429" s="473" t="s">
        <v>373</v>
      </c>
      <c r="AD429" s="473" t="s">
        <v>361</v>
      </c>
      <c r="AE429" s="452" t="s">
        <v>244</v>
      </c>
      <c r="AF429" s="453" t="str">
        <f>"CLE-"&amp;A429</f>
        <v>CLE-427</v>
      </c>
      <c r="AG429" s="451">
        <v>80111600</v>
      </c>
      <c r="AH429" s="310" t="s">
        <v>788</v>
      </c>
      <c r="AI429" s="301" t="s">
        <v>789</v>
      </c>
      <c r="AJ429" s="301" t="s">
        <v>789</v>
      </c>
      <c r="AK429" s="302">
        <v>3</v>
      </c>
      <c r="AL429" s="303" t="s">
        <v>241</v>
      </c>
      <c r="AM429" s="304" t="s">
        <v>242</v>
      </c>
      <c r="AN429" s="446">
        <v>1844724</v>
      </c>
      <c r="AO429" s="446">
        <v>1844724</v>
      </c>
      <c r="AP429" s="303" t="s">
        <v>244</v>
      </c>
      <c r="AQ429" s="303" t="s">
        <v>245</v>
      </c>
      <c r="AR429" s="460" t="s">
        <v>246</v>
      </c>
      <c r="AS429" s="306" t="s">
        <v>247</v>
      </c>
      <c r="AT429" s="307" t="s">
        <v>372</v>
      </c>
      <c r="AU429" s="308" t="s">
        <v>248</v>
      </c>
      <c r="AV429" s="470" t="s">
        <v>249</v>
      </c>
      <c r="AW429" s="303" t="s">
        <v>244</v>
      </c>
      <c r="AX429" s="303" t="s">
        <v>244</v>
      </c>
      <c r="AY429" s="474" t="s">
        <v>250</v>
      </c>
      <c r="AZ429" s="474" t="s">
        <v>251</v>
      </c>
      <c r="BA429" s="474" t="s">
        <v>252</v>
      </c>
      <c r="BB429" s="474" t="s">
        <v>250</v>
      </c>
      <c r="BC429" s="474"/>
      <c r="BD429" s="474"/>
    </row>
    <row r="430" spans="1:56" customFormat="1" ht="60" x14ac:dyDescent="0.25">
      <c r="A430" s="298">
        <v>428</v>
      </c>
      <c r="B430" s="299" t="s">
        <v>90</v>
      </c>
      <c r="C430" s="299" t="s">
        <v>78</v>
      </c>
      <c r="D430" s="299" t="s">
        <v>375</v>
      </c>
      <c r="E430" s="299"/>
      <c r="F430" s="438" t="s">
        <v>383</v>
      </c>
      <c r="G430" s="438" t="s">
        <v>374</v>
      </c>
      <c r="H430" s="45" t="s">
        <v>67</v>
      </c>
      <c r="I430" s="299"/>
      <c r="J430" s="251"/>
      <c r="K430" s="300"/>
      <c r="L430" s="441" t="s">
        <v>713</v>
      </c>
      <c r="M430" s="299">
        <v>1</v>
      </c>
      <c r="N430" s="299" t="s">
        <v>686</v>
      </c>
      <c r="O430" s="442">
        <v>45419</v>
      </c>
      <c r="P430" s="443">
        <v>45472</v>
      </c>
      <c r="Q430" s="444">
        <v>533883</v>
      </c>
      <c r="R430" s="472"/>
      <c r="S430" s="472"/>
      <c r="T430" s="444">
        <v>0</v>
      </c>
      <c r="U430" s="445">
        <v>2</v>
      </c>
      <c r="V430" s="467">
        <v>533883</v>
      </c>
      <c r="W430" s="450"/>
      <c r="X430" s="447"/>
      <c r="Y430" s="449"/>
      <c r="Z430" s="449"/>
      <c r="AA430" s="450">
        <v>981750000</v>
      </c>
      <c r="AB430" s="451" t="s">
        <v>243</v>
      </c>
      <c r="AC430" s="473" t="s">
        <v>373</v>
      </c>
      <c r="AD430" s="473" t="s">
        <v>361</v>
      </c>
      <c r="AE430" s="452" t="s">
        <v>244</v>
      </c>
      <c r="AF430" s="453" t="str">
        <f t="shared" ref="AF430:AF431" si="292">"CLE-"&amp;A430</f>
        <v>CLE-428</v>
      </c>
      <c r="AG430" s="451">
        <v>80111600</v>
      </c>
      <c r="AH430" s="310" t="s">
        <v>790</v>
      </c>
      <c r="AI430" s="301" t="s">
        <v>789</v>
      </c>
      <c r="AJ430" s="301" t="s">
        <v>789</v>
      </c>
      <c r="AK430" s="302">
        <v>3</v>
      </c>
      <c r="AL430" s="303" t="s">
        <v>241</v>
      </c>
      <c r="AM430" s="304" t="s">
        <v>242</v>
      </c>
      <c r="AN430" s="446">
        <v>533883</v>
      </c>
      <c r="AO430" s="446">
        <v>533883</v>
      </c>
      <c r="AP430" s="303" t="s">
        <v>244</v>
      </c>
      <c r="AQ430" s="303" t="s">
        <v>245</v>
      </c>
      <c r="AR430" s="460" t="s">
        <v>246</v>
      </c>
      <c r="AS430" s="306" t="s">
        <v>247</v>
      </c>
      <c r="AT430" s="307" t="s">
        <v>372</v>
      </c>
      <c r="AU430" s="308" t="s">
        <v>248</v>
      </c>
      <c r="AV430" s="470" t="s">
        <v>249</v>
      </c>
      <c r="AW430" s="303" t="s">
        <v>244</v>
      </c>
      <c r="AX430" s="303" t="s">
        <v>244</v>
      </c>
      <c r="AY430" s="474" t="s">
        <v>250</v>
      </c>
      <c r="AZ430" s="474" t="s">
        <v>251</v>
      </c>
      <c r="BA430" s="474" t="s">
        <v>252</v>
      </c>
      <c r="BB430" s="474" t="s">
        <v>250</v>
      </c>
      <c r="BC430" s="474"/>
      <c r="BD430" s="474"/>
    </row>
    <row r="431" spans="1:56" customFormat="1" ht="60" x14ac:dyDescent="0.25">
      <c r="A431" s="298">
        <v>429</v>
      </c>
      <c r="B431" s="299" t="s">
        <v>90</v>
      </c>
      <c r="C431" s="299" t="s">
        <v>78</v>
      </c>
      <c r="D431" s="299" t="s">
        <v>375</v>
      </c>
      <c r="E431" s="299"/>
      <c r="F431" s="438" t="s">
        <v>383</v>
      </c>
      <c r="G431" s="438" t="s">
        <v>374</v>
      </c>
      <c r="H431" s="45" t="s">
        <v>67</v>
      </c>
      <c r="I431" s="299"/>
      <c r="J431" s="251">
        <v>1967592.5925925926</v>
      </c>
      <c r="K431" s="300">
        <v>5.0000000000000044E-2</v>
      </c>
      <c r="L431" s="441" t="s">
        <v>713</v>
      </c>
      <c r="M431" s="299">
        <v>1</v>
      </c>
      <c r="N431" s="299" t="s">
        <v>686</v>
      </c>
      <c r="O431" s="442">
        <v>45419</v>
      </c>
      <c r="P431" s="443">
        <v>45472</v>
      </c>
      <c r="Q431" s="444">
        <v>195423</v>
      </c>
      <c r="R431" s="472"/>
      <c r="S431" s="472"/>
      <c r="T431" s="444">
        <v>0</v>
      </c>
      <c r="U431" s="445">
        <v>2</v>
      </c>
      <c r="V431" s="467">
        <v>195423</v>
      </c>
      <c r="W431" s="450">
        <v>1750000000</v>
      </c>
      <c r="X431" s="447">
        <v>-0.43899999999999995</v>
      </c>
      <c r="Y431" s="449"/>
      <c r="Z431" s="449" t="s">
        <v>376</v>
      </c>
      <c r="AA431" s="450">
        <v>981750000</v>
      </c>
      <c r="AB431" s="451" t="s">
        <v>243</v>
      </c>
      <c r="AC431" s="473" t="s">
        <v>373</v>
      </c>
      <c r="AD431" s="473" t="s">
        <v>361</v>
      </c>
      <c r="AE431" s="452" t="s">
        <v>244</v>
      </c>
      <c r="AF431" s="453" t="str">
        <f t="shared" si="292"/>
        <v>CLE-429</v>
      </c>
      <c r="AG431" s="451">
        <v>80111600</v>
      </c>
      <c r="AH431" s="310" t="s">
        <v>791</v>
      </c>
      <c r="AI431" s="301" t="s">
        <v>789</v>
      </c>
      <c r="AJ431" s="301" t="s">
        <v>789</v>
      </c>
      <c r="AK431" s="302">
        <v>3</v>
      </c>
      <c r="AL431" s="303" t="s">
        <v>241</v>
      </c>
      <c r="AM431" s="304" t="s">
        <v>242</v>
      </c>
      <c r="AN431" s="446">
        <v>195423</v>
      </c>
      <c r="AO431" s="446">
        <v>195423</v>
      </c>
      <c r="AP431" s="303" t="s">
        <v>244</v>
      </c>
      <c r="AQ431" s="303" t="s">
        <v>245</v>
      </c>
      <c r="AR431" s="460" t="s">
        <v>246</v>
      </c>
      <c r="AS431" s="306" t="s">
        <v>247</v>
      </c>
      <c r="AT431" s="307" t="s">
        <v>372</v>
      </c>
      <c r="AU431" s="308" t="s">
        <v>248</v>
      </c>
      <c r="AV431" s="470" t="s">
        <v>249</v>
      </c>
      <c r="AW431" s="303" t="s">
        <v>244</v>
      </c>
      <c r="AX431" s="303" t="s">
        <v>244</v>
      </c>
      <c r="AY431" s="474" t="s">
        <v>250</v>
      </c>
      <c r="AZ431" s="474" t="s">
        <v>251</v>
      </c>
      <c r="BA431" s="474" t="s">
        <v>252</v>
      </c>
      <c r="BB431" s="474" t="s">
        <v>250</v>
      </c>
      <c r="BC431" s="474"/>
      <c r="BD431" s="474"/>
    </row>
    <row r="432" spans="1:56" customFormat="1" ht="36" x14ac:dyDescent="0.25">
      <c r="A432" s="257">
        <v>430</v>
      </c>
      <c r="B432" s="299" t="s">
        <v>63</v>
      </c>
      <c r="C432" s="299" t="s">
        <v>13</v>
      </c>
      <c r="D432" s="299" t="s">
        <v>21</v>
      </c>
      <c r="E432" s="299"/>
      <c r="F432" s="438" t="s">
        <v>16</v>
      </c>
      <c r="G432" s="438" t="s">
        <v>72</v>
      </c>
      <c r="H432" s="45" t="s">
        <v>473</v>
      </c>
      <c r="I432" s="299"/>
      <c r="J432" s="251">
        <v>7287254.4545454541</v>
      </c>
      <c r="K432" s="300">
        <v>0.1080000000000001</v>
      </c>
      <c r="L432" s="441" t="s">
        <v>713</v>
      </c>
      <c r="M432" s="299">
        <v>1</v>
      </c>
      <c r="N432" s="299" t="s">
        <v>486</v>
      </c>
      <c r="O432" s="442">
        <v>45536</v>
      </c>
      <c r="P432" s="443">
        <v>45646</v>
      </c>
      <c r="Q432" s="444">
        <v>117000000</v>
      </c>
      <c r="R432" s="472"/>
      <c r="S432" s="472"/>
      <c r="T432" s="444">
        <v>0</v>
      </c>
      <c r="U432" s="445">
        <v>4</v>
      </c>
      <c r="V432" s="467">
        <v>117000000</v>
      </c>
      <c r="W432" s="450">
        <v>80159799</v>
      </c>
      <c r="X432" s="447">
        <v>0.10799999999999987</v>
      </c>
      <c r="Y432" s="449"/>
      <c r="Z432" s="449" t="s">
        <v>19</v>
      </c>
      <c r="AA432" s="450">
        <v>117000000</v>
      </c>
      <c r="AB432" s="451" t="s">
        <v>599</v>
      </c>
      <c r="AC432" s="473" t="s">
        <v>15</v>
      </c>
      <c r="AD432" s="473" t="s">
        <v>244</v>
      </c>
      <c r="AE432" s="452" t="s">
        <v>244</v>
      </c>
      <c r="AF432" s="453" t="str">
        <f>"CON-"&amp;A432</f>
        <v>CON-430</v>
      </c>
      <c r="AG432" s="451">
        <v>80111600</v>
      </c>
      <c r="AH432" s="310" t="s">
        <v>800</v>
      </c>
      <c r="AI432" s="301" t="s">
        <v>789</v>
      </c>
      <c r="AJ432" s="301" t="s">
        <v>789</v>
      </c>
      <c r="AK432" s="302">
        <v>4</v>
      </c>
      <c r="AL432" s="303" t="s">
        <v>241</v>
      </c>
      <c r="AM432" s="304" t="s">
        <v>242</v>
      </c>
      <c r="AN432" s="446">
        <v>117000000</v>
      </c>
      <c r="AO432" s="446">
        <v>117000000</v>
      </c>
      <c r="AP432" s="303" t="s">
        <v>244</v>
      </c>
      <c r="AQ432" s="303" t="s">
        <v>245</v>
      </c>
      <c r="AR432" s="460" t="s">
        <v>246</v>
      </c>
      <c r="AS432" s="306" t="s">
        <v>247</v>
      </c>
      <c r="AT432" s="307" t="s">
        <v>21</v>
      </c>
      <c r="AU432" s="308" t="s">
        <v>248</v>
      </c>
      <c r="AV432" s="470" t="s">
        <v>249</v>
      </c>
      <c r="AW432" s="303" t="s">
        <v>244</v>
      </c>
      <c r="AX432" s="303" t="s">
        <v>244</v>
      </c>
      <c r="AY432" s="474" t="s">
        <v>250</v>
      </c>
      <c r="AZ432" s="474" t="s">
        <v>251</v>
      </c>
      <c r="BA432" s="474" t="s">
        <v>252</v>
      </c>
      <c r="BB432" s="474" t="s">
        <v>250</v>
      </c>
      <c r="BC432" s="474"/>
      <c r="BD432" s="474"/>
    </row>
    <row r="433" spans="1:56" customFormat="1" ht="48" customHeight="1" x14ac:dyDescent="0.25">
      <c r="A433" s="257">
        <v>431</v>
      </c>
      <c r="B433" s="299" t="s">
        <v>63</v>
      </c>
      <c r="C433" s="299" t="s">
        <v>25</v>
      </c>
      <c r="D433" s="299" t="s">
        <v>38</v>
      </c>
      <c r="E433" s="299" t="s">
        <v>84</v>
      </c>
      <c r="F433" s="438" t="s">
        <v>39</v>
      </c>
      <c r="G433" s="438" t="s">
        <v>75</v>
      </c>
      <c r="H433" s="45" t="s">
        <v>71</v>
      </c>
      <c r="I433" s="299">
        <v>3</v>
      </c>
      <c r="J433" s="251">
        <v>1712528.2124999999</v>
      </c>
      <c r="K433" s="300">
        <v>8.0274173877296073E-2</v>
      </c>
      <c r="L433" s="441">
        <v>1850000</v>
      </c>
      <c r="M433" s="299">
        <v>1</v>
      </c>
      <c r="N433" s="299" t="s">
        <v>485</v>
      </c>
      <c r="O433" s="442">
        <v>45566</v>
      </c>
      <c r="P433" s="443">
        <v>45624</v>
      </c>
      <c r="Q433" s="444">
        <v>3576667</v>
      </c>
      <c r="R433" s="472"/>
      <c r="S433" s="472"/>
      <c r="T433" s="444">
        <v>0</v>
      </c>
      <c r="U433" s="445">
        <v>2</v>
      </c>
      <c r="V433" s="467">
        <v>3576667</v>
      </c>
      <c r="W433" s="450">
        <v>16954029.303750001</v>
      </c>
      <c r="X433" s="447">
        <v>-1</v>
      </c>
      <c r="Y433" s="449">
        <v>1032401108</v>
      </c>
      <c r="Z433" s="449" t="s">
        <v>433</v>
      </c>
      <c r="AA433" s="450">
        <v>3576667</v>
      </c>
      <c r="AB433" s="451" t="s">
        <v>243</v>
      </c>
      <c r="AC433" s="473" t="s">
        <v>15</v>
      </c>
      <c r="AD433" s="473" t="s">
        <v>361</v>
      </c>
      <c r="AE433" s="452" t="s">
        <v>244</v>
      </c>
      <c r="AF433" s="453" t="str">
        <f>"CON-"&amp;A433</f>
        <v>CON-431</v>
      </c>
      <c r="AG433" s="451">
        <v>80111600</v>
      </c>
      <c r="AH433" s="310" t="s">
        <v>177</v>
      </c>
      <c r="AI433" s="301" t="s">
        <v>792</v>
      </c>
      <c r="AJ433" s="301" t="s">
        <v>792</v>
      </c>
      <c r="AK433" s="302">
        <v>2</v>
      </c>
      <c r="AL433" s="303" t="s">
        <v>241</v>
      </c>
      <c r="AM433" s="304" t="s">
        <v>242</v>
      </c>
      <c r="AN433" s="446">
        <v>3576667</v>
      </c>
      <c r="AO433" s="446">
        <v>3576667</v>
      </c>
      <c r="AP433" s="303" t="s">
        <v>244</v>
      </c>
      <c r="AQ433" s="303" t="s">
        <v>245</v>
      </c>
      <c r="AR433" s="460" t="s">
        <v>246</v>
      </c>
      <c r="AS433" s="306" t="s">
        <v>247</v>
      </c>
      <c r="AT433" s="307" t="s">
        <v>38</v>
      </c>
      <c r="AU433" s="308" t="s">
        <v>248</v>
      </c>
      <c r="AV433" s="470" t="s">
        <v>249</v>
      </c>
      <c r="AW433" s="303" t="s">
        <v>244</v>
      </c>
      <c r="AX433" s="303" t="s">
        <v>244</v>
      </c>
      <c r="AY433" s="474" t="s">
        <v>250</v>
      </c>
      <c r="AZ433" s="474" t="s">
        <v>251</v>
      </c>
      <c r="BA433" s="474" t="s">
        <v>252</v>
      </c>
      <c r="BB433" s="474" t="s">
        <v>250</v>
      </c>
      <c r="BC433" s="474"/>
      <c r="BD433" s="474"/>
    </row>
    <row r="434" spans="1:56" customFormat="1" ht="48" customHeight="1" x14ac:dyDescent="0.25">
      <c r="A434" s="257">
        <v>432</v>
      </c>
      <c r="B434" s="299" t="s">
        <v>63</v>
      </c>
      <c r="C434" s="299" t="s">
        <v>13</v>
      </c>
      <c r="D434" s="299" t="s">
        <v>89</v>
      </c>
      <c r="E434" s="299" t="s">
        <v>44</v>
      </c>
      <c r="F434" s="438" t="s">
        <v>72</v>
      </c>
      <c r="G434" s="438" t="s">
        <v>374</v>
      </c>
      <c r="H434" s="45" t="s">
        <v>690</v>
      </c>
      <c r="I434" s="299"/>
      <c r="J434" s="251">
        <v>2126631</v>
      </c>
      <c r="K434" s="300"/>
      <c r="L434" s="441">
        <v>1650743</v>
      </c>
      <c r="M434" s="299">
        <v>1</v>
      </c>
      <c r="N434" s="299" t="s">
        <v>686</v>
      </c>
      <c r="O434" s="442">
        <v>45550</v>
      </c>
      <c r="P434" s="443">
        <v>45641</v>
      </c>
      <c r="Q434" s="444">
        <v>6602972</v>
      </c>
      <c r="R434" s="472"/>
      <c r="S434" s="472"/>
      <c r="T434" s="444">
        <v>0</v>
      </c>
      <c r="U434" s="445">
        <v>4</v>
      </c>
      <c r="V434" s="444">
        <v>6602972</v>
      </c>
      <c r="W434" s="450"/>
      <c r="X434" s="447"/>
      <c r="Y434" s="449"/>
      <c r="Z434" s="449">
        <v>0</v>
      </c>
      <c r="AA434" s="450">
        <v>6602972</v>
      </c>
      <c r="AB434" s="451" t="s">
        <v>243</v>
      </c>
      <c r="AC434" s="473" t="s">
        <v>15</v>
      </c>
      <c r="AD434" s="473" t="s">
        <v>361</v>
      </c>
      <c r="AE434" s="452" t="s">
        <v>244</v>
      </c>
      <c r="AF434" s="453" t="str">
        <f t="shared" ref="AF434:AF440" si="293">"CON-"&amp;A434</f>
        <v>CON-432</v>
      </c>
      <c r="AG434" s="451">
        <v>80111600</v>
      </c>
      <c r="AH434" s="310" t="s">
        <v>691</v>
      </c>
      <c r="AI434" s="301" t="s">
        <v>789</v>
      </c>
      <c r="AJ434" s="301" t="s">
        <v>789</v>
      </c>
      <c r="AK434" s="302">
        <v>4</v>
      </c>
      <c r="AL434" s="303" t="s">
        <v>241</v>
      </c>
      <c r="AM434" s="304" t="s">
        <v>242</v>
      </c>
      <c r="AN434" s="450">
        <v>6602972</v>
      </c>
      <c r="AO434" s="446">
        <f>AN434</f>
        <v>6602972</v>
      </c>
      <c r="AP434" s="303" t="s">
        <v>244</v>
      </c>
      <c r="AQ434" s="303" t="s">
        <v>245</v>
      </c>
      <c r="AR434" s="460" t="s">
        <v>246</v>
      </c>
      <c r="AS434" s="306" t="s">
        <v>247</v>
      </c>
      <c r="AT434" s="307" t="s">
        <v>89</v>
      </c>
      <c r="AU434" s="308" t="s">
        <v>248</v>
      </c>
      <c r="AV434" s="470" t="s">
        <v>249</v>
      </c>
      <c r="AW434" s="303" t="s">
        <v>244</v>
      </c>
      <c r="AX434" s="303" t="s">
        <v>244</v>
      </c>
      <c r="AY434" s="474" t="s">
        <v>250</v>
      </c>
      <c r="AZ434" s="474" t="s">
        <v>251</v>
      </c>
      <c r="BA434" s="474" t="s">
        <v>252</v>
      </c>
      <c r="BB434" s="474" t="s">
        <v>250</v>
      </c>
      <c r="BC434" s="474"/>
      <c r="BD434" s="474"/>
    </row>
    <row r="435" spans="1:56" customFormat="1" ht="48" customHeight="1" x14ac:dyDescent="0.25">
      <c r="A435" s="257">
        <v>433</v>
      </c>
      <c r="B435" s="299" t="s">
        <v>63</v>
      </c>
      <c r="C435" s="299" t="s">
        <v>13</v>
      </c>
      <c r="D435" s="299" t="s">
        <v>89</v>
      </c>
      <c r="E435" s="299" t="s">
        <v>44</v>
      </c>
      <c r="F435" s="438" t="s">
        <v>72</v>
      </c>
      <c r="G435" s="438" t="s">
        <v>374</v>
      </c>
      <c r="H435" s="45" t="s">
        <v>690</v>
      </c>
      <c r="I435" s="299"/>
      <c r="J435" s="251">
        <v>2126631</v>
      </c>
      <c r="K435" s="300"/>
      <c r="L435" s="441">
        <v>3018444</v>
      </c>
      <c r="M435" s="299">
        <v>1</v>
      </c>
      <c r="N435" s="299" t="s">
        <v>686</v>
      </c>
      <c r="O435" s="442">
        <v>45550</v>
      </c>
      <c r="P435" s="443">
        <v>45641</v>
      </c>
      <c r="Q435" s="444">
        <v>12073776</v>
      </c>
      <c r="R435" s="472"/>
      <c r="S435" s="472"/>
      <c r="T435" s="444">
        <v>0</v>
      </c>
      <c r="U435" s="445">
        <v>4</v>
      </c>
      <c r="V435" s="444">
        <v>12073776</v>
      </c>
      <c r="W435" s="450"/>
      <c r="X435" s="447"/>
      <c r="Y435" s="449"/>
      <c r="Z435" s="449">
        <v>0</v>
      </c>
      <c r="AA435" s="450">
        <v>12073776</v>
      </c>
      <c r="AB435" s="451" t="s">
        <v>243</v>
      </c>
      <c r="AC435" s="473" t="s">
        <v>15</v>
      </c>
      <c r="AD435" s="473" t="s">
        <v>361</v>
      </c>
      <c r="AE435" s="452" t="s">
        <v>244</v>
      </c>
      <c r="AF435" s="453" t="str">
        <f t="shared" si="293"/>
        <v>CON-433</v>
      </c>
      <c r="AG435" s="451">
        <v>80111600</v>
      </c>
      <c r="AH435" s="310" t="s">
        <v>691</v>
      </c>
      <c r="AI435" s="301" t="s">
        <v>789</v>
      </c>
      <c r="AJ435" s="301" t="s">
        <v>789</v>
      </c>
      <c r="AK435" s="302">
        <v>4</v>
      </c>
      <c r="AL435" s="303" t="s">
        <v>241</v>
      </c>
      <c r="AM435" s="304" t="s">
        <v>242</v>
      </c>
      <c r="AN435" s="450">
        <v>12073776</v>
      </c>
      <c r="AO435" s="446">
        <f t="shared" ref="AO435:AO436" si="294">AN435</f>
        <v>12073776</v>
      </c>
      <c r="AP435" s="303" t="s">
        <v>244</v>
      </c>
      <c r="AQ435" s="303" t="s">
        <v>245</v>
      </c>
      <c r="AR435" s="460" t="s">
        <v>246</v>
      </c>
      <c r="AS435" s="306" t="s">
        <v>247</v>
      </c>
      <c r="AT435" s="307" t="s">
        <v>89</v>
      </c>
      <c r="AU435" s="308" t="s">
        <v>248</v>
      </c>
      <c r="AV435" s="470" t="s">
        <v>249</v>
      </c>
      <c r="AW435" s="303" t="s">
        <v>244</v>
      </c>
      <c r="AX435" s="303" t="s">
        <v>244</v>
      </c>
      <c r="AY435" s="474" t="s">
        <v>250</v>
      </c>
      <c r="AZ435" s="474" t="s">
        <v>251</v>
      </c>
      <c r="BA435" s="474" t="s">
        <v>252</v>
      </c>
      <c r="BB435" s="474" t="s">
        <v>250</v>
      </c>
      <c r="BC435" s="474"/>
      <c r="BD435" s="474"/>
    </row>
    <row r="436" spans="1:56" customFormat="1" ht="48" customHeight="1" x14ac:dyDescent="0.25">
      <c r="A436" s="257">
        <v>434</v>
      </c>
      <c r="B436" s="299" t="s">
        <v>63</v>
      </c>
      <c r="C436" s="299" t="s">
        <v>13</v>
      </c>
      <c r="D436" s="299" t="s">
        <v>89</v>
      </c>
      <c r="E436" s="299" t="s">
        <v>44</v>
      </c>
      <c r="F436" s="438" t="s">
        <v>72</v>
      </c>
      <c r="G436" s="438" t="s">
        <v>374</v>
      </c>
      <c r="H436" s="45" t="s">
        <v>690</v>
      </c>
      <c r="I436" s="299"/>
      <c r="J436" s="251">
        <v>2126631</v>
      </c>
      <c r="K436" s="300"/>
      <c r="L436" s="441">
        <v>2333232</v>
      </c>
      <c r="M436" s="299">
        <v>1</v>
      </c>
      <c r="N436" s="299" t="s">
        <v>686</v>
      </c>
      <c r="O436" s="442">
        <v>45550</v>
      </c>
      <c r="P436" s="443">
        <v>45641</v>
      </c>
      <c r="Q436" s="444">
        <v>9332928</v>
      </c>
      <c r="R436" s="472"/>
      <c r="S436" s="472"/>
      <c r="T436" s="444">
        <v>0</v>
      </c>
      <c r="U436" s="445">
        <v>4</v>
      </c>
      <c r="V436" s="444">
        <v>9332928</v>
      </c>
      <c r="W436" s="450"/>
      <c r="X436" s="447"/>
      <c r="Y436" s="449"/>
      <c r="Z436" s="449">
        <v>0</v>
      </c>
      <c r="AA436" s="450">
        <v>9332928</v>
      </c>
      <c r="AB436" s="451" t="s">
        <v>243</v>
      </c>
      <c r="AC436" s="473" t="s">
        <v>15</v>
      </c>
      <c r="AD436" s="473" t="s">
        <v>361</v>
      </c>
      <c r="AE436" s="452" t="s">
        <v>244</v>
      </c>
      <c r="AF436" s="453" t="str">
        <f t="shared" si="293"/>
        <v>CON-434</v>
      </c>
      <c r="AG436" s="451">
        <v>80111600</v>
      </c>
      <c r="AH436" s="310" t="s">
        <v>691</v>
      </c>
      <c r="AI436" s="301" t="s">
        <v>789</v>
      </c>
      <c r="AJ436" s="301" t="s">
        <v>789</v>
      </c>
      <c r="AK436" s="302">
        <v>4</v>
      </c>
      <c r="AL436" s="303" t="s">
        <v>241</v>
      </c>
      <c r="AM436" s="304" t="s">
        <v>242</v>
      </c>
      <c r="AN436" s="450">
        <v>9332928</v>
      </c>
      <c r="AO436" s="446">
        <f t="shared" si="294"/>
        <v>9332928</v>
      </c>
      <c r="AP436" s="303" t="s">
        <v>244</v>
      </c>
      <c r="AQ436" s="303" t="s">
        <v>245</v>
      </c>
      <c r="AR436" s="460" t="s">
        <v>246</v>
      </c>
      <c r="AS436" s="306" t="s">
        <v>247</v>
      </c>
      <c r="AT436" s="307" t="s">
        <v>89</v>
      </c>
      <c r="AU436" s="308" t="s">
        <v>248</v>
      </c>
      <c r="AV436" s="470" t="s">
        <v>249</v>
      </c>
      <c r="AW436" s="303" t="s">
        <v>244</v>
      </c>
      <c r="AX436" s="303" t="s">
        <v>244</v>
      </c>
      <c r="AY436" s="474" t="s">
        <v>250</v>
      </c>
      <c r="AZ436" s="474" t="s">
        <v>251</v>
      </c>
      <c r="BA436" s="474" t="s">
        <v>252</v>
      </c>
      <c r="BB436" s="474" t="s">
        <v>250</v>
      </c>
      <c r="BC436" s="474"/>
      <c r="BD436" s="474"/>
    </row>
    <row r="437" spans="1:56" s="89" customFormat="1" ht="75" customHeight="1" x14ac:dyDescent="0.2">
      <c r="A437" s="436">
        <v>435</v>
      </c>
      <c r="B437" s="437" t="s">
        <v>63</v>
      </c>
      <c r="C437" s="437" t="s">
        <v>25</v>
      </c>
      <c r="D437" s="437" t="s">
        <v>31</v>
      </c>
      <c r="E437" s="437"/>
      <c r="F437" s="438" t="s">
        <v>480</v>
      </c>
      <c r="G437" s="438" t="s">
        <v>374</v>
      </c>
      <c r="H437" s="437" t="s">
        <v>69</v>
      </c>
      <c r="I437" s="437">
        <v>6</v>
      </c>
      <c r="J437" s="439">
        <v>2200000</v>
      </c>
      <c r="K437" s="440">
        <f t="shared" ref="K437:K440" si="295">IF(J437="",1,((L437/J437)-1))</f>
        <v>1</v>
      </c>
      <c r="L437" s="441">
        <f>IF(H437="OTRO",(J437*1.05),VLOOKUP((I437&amp;H437),'ESCALAS Salarios'!$D$2:$F$30,3,0))</f>
        <v>4400000</v>
      </c>
      <c r="M437" s="437">
        <v>1</v>
      </c>
      <c r="N437" s="437" t="s">
        <v>485</v>
      </c>
      <c r="O437" s="442">
        <v>45646</v>
      </c>
      <c r="P437" s="443">
        <v>45708</v>
      </c>
      <c r="Q437" s="444">
        <v>7626666</v>
      </c>
      <c r="R437" s="442"/>
      <c r="S437" s="442"/>
      <c r="T437" s="444">
        <f t="shared" ref="T437:T440" si="296">IF($N437="MENSUAL",ROUND((((S437-R437))/30),0)*$L437,((S437-R437)/30)*$L437)</f>
        <v>0</v>
      </c>
      <c r="U437" s="445">
        <f>ROUND((((P437-O437)+(S437-R437))/30),0)</f>
        <v>2</v>
      </c>
      <c r="V437" s="444">
        <f t="shared" ref="V437:V440" si="297">+Q437+T437</f>
        <v>7626666</v>
      </c>
      <c r="W437" s="446">
        <v>22880000</v>
      </c>
      <c r="X437" s="447">
        <f t="shared" ref="X437:X440" si="298">IF(W437="",1,((V437/W437)-1))</f>
        <v>-0.6666666958041958</v>
      </c>
      <c r="Y437" s="448">
        <v>1000115711</v>
      </c>
      <c r="Z437" s="449" t="s">
        <v>428</v>
      </c>
      <c r="AA437" s="450">
        <f t="shared" ref="AA437:AA440" si="299">+V437</f>
        <v>7626666</v>
      </c>
      <c r="AB437" s="451" t="s">
        <v>243</v>
      </c>
      <c r="AC437" s="473" t="s">
        <v>1</v>
      </c>
      <c r="AD437" s="452" t="s">
        <v>361</v>
      </c>
      <c r="AE437" s="452" t="s">
        <v>244</v>
      </c>
      <c r="AF437" s="453" t="str">
        <f t="shared" si="293"/>
        <v>CON-435</v>
      </c>
      <c r="AG437" s="451">
        <v>80111600</v>
      </c>
      <c r="AH437" s="310" t="s">
        <v>794</v>
      </c>
      <c r="AI437" s="455">
        <f t="shared" ref="AI437:AI440" si="300">+O437</f>
        <v>45646</v>
      </c>
      <c r="AJ437" s="455">
        <f t="shared" ref="AJ437:AJ440" si="301">+AI437</f>
        <v>45646</v>
      </c>
      <c r="AK437" s="456">
        <f t="shared" ref="AK437:AK440" si="302">+U437</f>
        <v>2</v>
      </c>
      <c r="AL437" s="457" t="s">
        <v>241</v>
      </c>
      <c r="AM437" s="458" t="s">
        <v>242</v>
      </c>
      <c r="AN437" s="459">
        <f t="shared" ref="AN437:AN440" si="303">+V437</f>
        <v>7626666</v>
      </c>
      <c r="AO437" s="459">
        <f t="shared" ref="AO437:AO440" si="304">+AN437</f>
        <v>7626666</v>
      </c>
      <c r="AP437" s="457" t="s">
        <v>244</v>
      </c>
      <c r="AQ437" s="457" t="s">
        <v>245</v>
      </c>
      <c r="AR437" s="460" t="s">
        <v>246</v>
      </c>
      <c r="AS437" s="461" t="s">
        <v>247</v>
      </c>
      <c r="AT437" s="462" t="str">
        <f t="shared" ref="AT437:AT440" si="305">D437</f>
        <v xml:space="preserve">SUBDIRECCIÓN DE GESTIÓN DE SISTEMAS DE INFORMACIÓN </v>
      </c>
      <c r="AU437" s="463" t="s">
        <v>248</v>
      </c>
      <c r="AV437" s="464" t="s">
        <v>249</v>
      </c>
      <c r="AW437" s="457" t="s">
        <v>244</v>
      </c>
      <c r="AX437" s="457" t="s">
        <v>244</v>
      </c>
      <c r="AY437" s="465" t="s">
        <v>250</v>
      </c>
      <c r="AZ437" s="466" t="s">
        <v>251</v>
      </c>
      <c r="BA437" s="466" t="s">
        <v>252</v>
      </c>
      <c r="BB437" s="466" t="s">
        <v>250</v>
      </c>
      <c r="BC437" s="466"/>
      <c r="BD437" s="466"/>
    </row>
    <row r="438" spans="1:56" ht="98.45" customHeight="1" x14ac:dyDescent="0.2">
      <c r="A438" s="257">
        <v>436</v>
      </c>
      <c r="B438" s="299" t="s">
        <v>63</v>
      </c>
      <c r="C438" s="299" t="s">
        <v>25</v>
      </c>
      <c r="D438" s="299" t="s">
        <v>31</v>
      </c>
      <c r="E438" s="299"/>
      <c r="F438" s="350" t="s">
        <v>383</v>
      </c>
      <c r="G438" s="350" t="s">
        <v>374</v>
      </c>
      <c r="H438" s="299" t="s">
        <v>67</v>
      </c>
      <c r="I438" s="299">
        <v>4</v>
      </c>
      <c r="J438" s="251">
        <v>5500000</v>
      </c>
      <c r="K438" s="300">
        <f t="shared" si="295"/>
        <v>3.6363636363636376E-2</v>
      </c>
      <c r="L438" s="311">
        <f>IF(H438="OTRO",(J438*1.05),VLOOKUP((I438&amp;H438),'ESCALAS Salarios'!$D$2:$F$30,3,0))</f>
        <v>5700000</v>
      </c>
      <c r="M438" s="299">
        <v>1</v>
      </c>
      <c r="N438" s="299" t="s">
        <v>485</v>
      </c>
      <c r="O438" s="250">
        <v>45647</v>
      </c>
      <c r="P438" s="316">
        <v>45716</v>
      </c>
      <c r="Q438" s="312">
        <v>13300000</v>
      </c>
      <c r="R438" s="250"/>
      <c r="S438" s="250"/>
      <c r="T438" s="312">
        <f t="shared" si="296"/>
        <v>0</v>
      </c>
      <c r="U438" s="318">
        <f t="shared" ref="U438:U440" si="306">ROUND((((P438-O438)+(S438-R438))/30),0)</f>
        <v>2</v>
      </c>
      <c r="V438" s="444">
        <f t="shared" si="297"/>
        <v>13300000</v>
      </c>
      <c r="W438" s="313">
        <v>61050000</v>
      </c>
      <c r="X438" s="353">
        <f t="shared" si="298"/>
        <v>-0.78214578214578212</v>
      </c>
      <c r="Y438" s="375">
        <v>80027001</v>
      </c>
      <c r="Z438" s="376" t="s">
        <v>36</v>
      </c>
      <c r="AA438" s="356">
        <f t="shared" si="299"/>
        <v>13300000</v>
      </c>
      <c r="AB438" s="270" t="s">
        <v>243</v>
      </c>
      <c r="AC438" s="393" t="s">
        <v>1</v>
      </c>
      <c r="AD438" s="358" t="s">
        <v>361</v>
      </c>
      <c r="AE438" s="358" t="s">
        <v>244</v>
      </c>
      <c r="AF438" s="359" t="str">
        <f t="shared" si="293"/>
        <v>CON-436</v>
      </c>
      <c r="AG438" s="270">
        <v>80111600</v>
      </c>
      <c r="AH438" s="310" t="s">
        <v>795</v>
      </c>
      <c r="AI438" s="301">
        <f t="shared" si="300"/>
        <v>45647</v>
      </c>
      <c r="AJ438" s="301">
        <f t="shared" si="301"/>
        <v>45647</v>
      </c>
      <c r="AK438" s="302">
        <f t="shared" si="302"/>
        <v>2</v>
      </c>
      <c r="AL438" s="303" t="s">
        <v>241</v>
      </c>
      <c r="AM438" s="304" t="s">
        <v>242</v>
      </c>
      <c r="AN438" s="305">
        <f t="shared" si="303"/>
        <v>13300000</v>
      </c>
      <c r="AO438" s="305">
        <f t="shared" si="304"/>
        <v>13300000</v>
      </c>
      <c r="AP438" s="303" t="s">
        <v>244</v>
      </c>
      <c r="AQ438" s="303" t="s">
        <v>245</v>
      </c>
      <c r="AR438" s="360" t="s">
        <v>246</v>
      </c>
      <c r="AS438" s="306" t="s">
        <v>247</v>
      </c>
      <c r="AT438" s="307" t="str">
        <f t="shared" si="305"/>
        <v xml:space="preserve">SUBDIRECCIÓN DE GESTIÓN DE SISTEMAS DE INFORMACIÓN </v>
      </c>
      <c r="AU438" s="308" t="s">
        <v>248</v>
      </c>
      <c r="AV438" s="361" t="s">
        <v>249</v>
      </c>
      <c r="AW438" s="303" t="s">
        <v>244</v>
      </c>
      <c r="AX438" s="303" t="s">
        <v>244</v>
      </c>
      <c r="AY438" s="362" t="s">
        <v>250</v>
      </c>
      <c r="AZ438" s="363" t="s">
        <v>251</v>
      </c>
      <c r="BA438" s="363" t="s">
        <v>252</v>
      </c>
      <c r="BB438" s="363" t="s">
        <v>250</v>
      </c>
      <c r="BC438" s="363"/>
      <c r="BD438" s="363"/>
    </row>
    <row r="439" spans="1:56" ht="109.5" customHeight="1" x14ac:dyDescent="0.2">
      <c r="A439" s="257">
        <v>437</v>
      </c>
      <c r="B439" s="299" t="s">
        <v>63</v>
      </c>
      <c r="C439" s="299" t="s">
        <v>25</v>
      </c>
      <c r="D439" s="299" t="s">
        <v>31</v>
      </c>
      <c r="E439" s="299"/>
      <c r="F439" s="350" t="s">
        <v>383</v>
      </c>
      <c r="G439" s="350" t="s">
        <v>374</v>
      </c>
      <c r="H439" s="299" t="s">
        <v>67</v>
      </c>
      <c r="I439" s="299">
        <v>1</v>
      </c>
      <c r="J439" s="251">
        <v>4550000</v>
      </c>
      <c r="K439" s="300">
        <f t="shared" si="295"/>
        <v>3.2967032967033072E-2</v>
      </c>
      <c r="L439" s="311">
        <f>IF(H439="OTRO",(J439*1.05),VLOOKUP((I439&amp;H439),'ESCALAS Salarios'!$D$2:$F$30,3,0))</f>
        <v>4700000</v>
      </c>
      <c r="M439" s="299">
        <v>1</v>
      </c>
      <c r="N439" s="299" t="s">
        <v>485</v>
      </c>
      <c r="O439" s="250">
        <v>45658</v>
      </c>
      <c r="P439" s="316">
        <v>45703</v>
      </c>
      <c r="Q439" s="312">
        <v>7050005</v>
      </c>
      <c r="R439" s="250"/>
      <c r="S439" s="250"/>
      <c r="T439" s="312">
        <f t="shared" si="296"/>
        <v>0</v>
      </c>
      <c r="U439" s="318">
        <f t="shared" si="306"/>
        <v>2</v>
      </c>
      <c r="V439" s="444">
        <f t="shared" si="297"/>
        <v>7050005</v>
      </c>
      <c r="W439" s="313">
        <v>50050000</v>
      </c>
      <c r="X439" s="353">
        <f t="shared" si="298"/>
        <v>-0.85914075924075928</v>
      </c>
      <c r="Y439" s="375">
        <v>79482785</v>
      </c>
      <c r="Z439" s="376" t="s">
        <v>356</v>
      </c>
      <c r="AA439" s="356">
        <f t="shared" si="299"/>
        <v>7050005</v>
      </c>
      <c r="AB439" s="270" t="s">
        <v>243</v>
      </c>
      <c r="AC439" s="393" t="s">
        <v>1</v>
      </c>
      <c r="AD439" s="358" t="s">
        <v>361</v>
      </c>
      <c r="AE439" s="358" t="s">
        <v>244</v>
      </c>
      <c r="AF439" s="359" t="str">
        <f>"CON-"&amp;A439</f>
        <v>CON-437</v>
      </c>
      <c r="AG439" s="270">
        <v>80111600</v>
      </c>
      <c r="AH439" s="249" t="s">
        <v>796</v>
      </c>
      <c r="AI439" s="301">
        <f t="shared" si="300"/>
        <v>45658</v>
      </c>
      <c r="AJ439" s="301">
        <f t="shared" si="301"/>
        <v>45658</v>
      </c>
      <c r="AK439" s="302">
        <f t="shared" si="302"/>
        <v>2</v>
      </c>
      <c r="AL439" s="303" t="s">
        <v>241</v>
      </c>
      <c r="AM439" s="304" t="s">
        <v>242</v>
      </c>
      <c r="AN439" s="305">
        <f t="shared" si="303"/>
        <v>7050005</v>
      </c>
      <c r="AO439" s="305">
        <f t="shared" si="304"/>
        <v>7050005</v>
      </c>
      <c r="AP439" s="303" t="s">
        <v>244</v>
      </c>
      <c r="AQ439" s="303" t="s">
        <v>245</v>
      </c>
      <c r="AR439" s="360" t="s">
        <v>246</v>
      </c>
      <c r="AS439" s="306" t="s">
        <v>247</v>
      </c>
      <c r="AT439" s="307" t="str">
        <f t="shared" si="305"/>
        <v xml:space="preserve">SUBDIRECCIÓN DE GESTIÓN DE SISTEMAS DE INFORMACIÓN </v>
      </c>
      <c r="AU439" s="308" t="s">
        <v>248</v>
      </c>
      <c r="AV439" s="361" t="s">
        <v>249</v>
      </c>
      <c r="AW439" s="303" t="s">
        <v>244</v>
      </c>
      <c r="AX439" s="303" t="s">
        <v>244</v>
      </c>
      <c r="AY439" s="362" t="s">
        <v>250</v>
      </c>
      <c r="AZ439" s="363" t="s">
        <v>251</v>
      </c>
      <c r="BA439" s="363" t="s">
        <v>252</v>
      </c>
      <c r="BB439" s="363" t="s">
        <v>250</v>
      </c>
      <c r="BC439" s="363"/>
      <c r="BD439" s="363"/>
    </row>
    <row r="440" spans="1:56" ht="72" x14ac:dyDescent="0.2">
      <c r="A440" s="257">
        <v>438</v>
      </c>
      <c r="B440" s="299" t="s">
        <v>63</v>
      </c>
      <c r="C440" s="299" t="s">
        <v>78</v>
      </c>
      <c r="D440" s="299" t="s">
        <v>797</v>
      </c>
      <c r="E440" s="299"/>
      <c r="F440" s="350" t="s">
        <v>383</v>
      </c>
      <c r="G440" s="350" t="s">
        <v>374</v>
      </c>
      <c r="H440" s="299" t="s">
        <v>67</v>
      </c>
      <c r="I440" s="299">
        <v>5</v>
      </c>
      <c r="J440" s="251">
        <v>4550000</v>
      </c>
      <c r="K440" s="300">
        <f t="shared" si="295"/>
        <v>0.31868131868131866</v>
      </c>
      <c r="L440" s="311">
        <f>IF(H440="OTRO",(J440*1.05),VLOOKUP((I440&amp;H440),'ESCALAS Salarios'!$D$2:$F$30,3,0))</f>
        <v>6000000</v>
      </c>
      <c r="M440" s="299">
        <v>1</v>
      </c>
      <c r="N440" s="299" t="s">
        <v>485</v>
      </c>
      <c r="O440" s="250">
        <v>45566</v>
      </c>
      <c r="P440" s="316">
        <v>45646</v>
      </c>
      <c r="Q440" s="312">
        <f t="shared" ref="Q440" si="307">IF($N440="MENSUAL",ROUND((((P440-O440))/30),0)*$L440*$M440,((P440-O440)/30)*$L440*$M440)</f>
        <v>16000000</v>
      </c>
      <c r="R440" s="250"/>
      <c r="S440" s="250"/>
      <c r="T440" s="312">
        <f t="shared" si="296"/>
        <v>0</v>
      </c>
      <c r="U440" s="318">
        <f t="shared" si="306"/>
        <v>3</v>
      </c>
      <c r="V440" s="444">
        <f t="shared" si="297"/>
        <v>16000000</v>
      </c>
      <c r="W440" s="313">
        <v>48078333.333333336</v>
      </c>
      <c r="X440" s="353">
        <f t="shared" si="298"/>
        <v>-0.66720976184698588</v>
      </c>
      <c r="Y440" s="375">
        <v>7177488</v>
      </c>
      <c r="Z440" s="376" t="s">
        <v>24</v>
      </c>
      <c r="AA440" s="356">
        <f t="shared" si="299"/>
        <v>16000000</v>
      </c>
      <c r="AB440" s="270" t="s">
        <v>243</v>
      </c>
      <c r="AC440" s="393" t="s">
        <v>1</v>
      </c>
      <c r="AD440" s="358" t="s">
        <v>361</v>
      </c>
      <c r="AE440" s="358" t="s">
        <v>244</v>
      </c>
      <c r="AF440" s="359" t="str">
        <f t="shared" si="293"/>
        <v>CON-438</v>
      </c>
      <c r="AG440" s="270">
        <v>80111600</v>
      </c>
      <c r="AH440" s="249" t="s">
        <v>799</v>
      </c>
      <c r="AI440" s="301">
        <f t="shared" si="300"/>
        <v>45566</v>
      </c>
      <c r="AJ440" s="301">
        <f t="shared" si="301"/>
        <v>45566</v>
      </c>
      <c r="AK440" s="302">
        <f t="shared" si="302"/>
        <v>3</v>
      </c>
      <c r="AL440" s="303" t="s">
        <v>241</v>
      </c>
      <c r="AM440" s="304" t="s">
        <v>242</v>
      </c>
      <c r="AN440" s="305">
        <f t="shared" si="303"/>
        <v>16000000</v>
      </c>
      <c r="AO440" s="305">
        <f t="shared" si="304"/>
        <v>16000000</v>
      </c>
      <c r="AP440" s="303" t="s">
        <v>244</v>
      </c>
      <c r="AQ440" s="303" t="s">
        <v>245</v>
      </c>
      <c r="AR440" s="360" t="s">
        <v>246</v>
      </c>
      <c r="AS440" s="306" t="s">
        <v>247</v>
      </c>
      <c r="AT440" s="307" t="str">
        <f t="shared" si="305"/>
        <v>CEPAZ</v>
      </c>
      <c r="AU440" s="308" t="s">
        <v>248</v>
      </c>
      <c r="AV440" s="361" t="s">
        <v>249</v>
      </c>
      <c r="AW440" s="303" t="s">
        <v>244</v>
      </c>
      <c r="AX440" s="303" t="s">
        <v>244</v>
      </c>
      <c r="AY440" s="362" t="s">
        <v>250</v>
      </c>
      <c r="AZ440" s="363" t="s">
        <v>251</v>
      </c>
      <c r="BA440" s="363" t="s">
        <v>252</v>
      </c>
      <c r="BB440" s="363" t="s">
        <v>250</v>
      </c>
      <c r="BC440" s="363"/>
      <c r="BD440" s="363"/>
    </row>
    <row r="441" spans="1:56" ht="60" x14ac:dyDescent="0.2">
      <c r="A441" s="257">
        <v>439</v>
      </c>
      <c r="B441" s="299" t="s">
        <v>90</v>
      </c>
      <c r="C441" s="299" t="s">
        <v>78</v>
      </c>
      <c r="D441" s="299" t="s">
        <v>375</v>
      </c>
      <c r="E441" s="299"/>
      <c r="F441" s="438" t="s">
        <v>383</v>
      </c>
      <c r="G441" s="438" t="s">
        <v>374</v>
      </c>
      <c r="H441" s="45" t="s">
        <v>69</v>
      </c>
      <c r="I441" s="299" t="s">
        <v>713</v>
      </c>
      <c r="J441" s="482">
        <v>1967592.5925925926</v>
      </c>
      <c r="K441" s="300">
        <v>5.0000000000000044E-2</v>
      </c>
      <c r="L441" s="478">
        <v>1527284</v>
      </c>
      <c r="M441" s="299">
        <v>1</v>
      </c>
      <c r="N441" s="299" t="s">
        <v>686</v>
      </c>
      <c r="O441" s="442">
        <v>45560</v>
      </c>
      <c r="P441" s="443">
        <v>45626</v>
      </c>
      <c r="Q441" s="479">
        <v>1527284</v>
      </c>
      <c r="R441" s="472"/>
      <c r="S441" s="472"/>
      <c r="T441" s="479">
        <v>0</v>
      </c>
      <c r="U441" s="480">
        <v>2</v>
      </c>
      <c r="V441" s="479">
        <v>1527284</v>
      </c>
      <c r="W441" s="481">
        <v>1750000000</v>
      </c>
      <c r="X441" s="447">
        <v>-0.43899999999999995</v>
      </c>
      <c r="Y441" s="449"/>
      <c r="Z441" s="449" t="s">
        <v>376</v>
      </c>
      <c r="AA441" s="481">
        <v>981750000</v>
      </c>
      <c r="AB441" s="451" t="s">
        <v>243</v>
      </c>
      <c r="AC441" s="473" t="s">
        <v>373</v>
      </c>
      <c r="AD441" s="473" t="s">
        <v>361</v>
      </c>
      <c r="AE441" s="452" t="s">
        <v>244</v>
      </c>
      <c r="AF441" s="359" t="str">
        <f>"CLE-"&amp;A441</f>
        <v>CLE-439</v>
      </c>
      <c r="AG441" s="451">
        <v>80111600</v>
      </c>
      <c r="AH441" s="310" t="s">
        <v>798</v>
      </c>
      <c r="AI441" s="301" t="s">
        <v>789</v>
      </c>
      <c r="AJ441" s="301" t="s">
        <v>789</v>
      </c>
      <c r="AK441" s="302">
        <v>2</v>
      </c>
      <c r="AL441" s="303" t="s">
        <v>241</v>
      </c>
      <c r="AM441" s="304" t="s">
        <v>242</v>
      </c>
      <c r="AN441" s="483">
        <v>1527284</v>
      </c>
      <c r="AO441" s="483">
        <v>1527284</v>
      </c>
      <c r="AP441" s="303" t="s">
        <v>244</v>
      </c>
      <c r="AQ441" s="303" t="s">
        <v>245</v>
      </c>
      <c r="AR441" s="460" t="s">
        <v>246</v>
      </c>
      <c r="AS441" s="306" t="s">
        <v>247</v>
      </c>
      <c r="AT441" s="307" t="s">
        <v>372</v>
      </c>
      <c r="AU441" s="308" t="s">
        <v>248</v>
      </c>
      <c r="AV441" s="470" t="s">
        <v>249</v>
      </c>
      <c r="AW441" s="303" t="s">
        <v>244</v>
      </c>
      <c r="AX441" s="303" t="s">
        <v>244</v>
      </c>
      <c r="AY441" s="474" t="s">
        <v>250</v>
      </c>
      <c r="AZ441" s="474" t="s">
        <v>251</v>
      </c>
      <c r="BA441" s="474" t="s">
        <v>252</v>
      </c>
      <c r="BB441" s="474" t="s">
        <v>250</v>
      </c>
      <c r="BC441" s="474"/>
      <c r="BD441" s="474"/>
    </row>
    <row r="442" spans="1:56" ht="121.5" customHeight="1" x14ac:dyDescent="0.2">
      <c r="A442" s="484">
        <v>440</v>
      </c>
      <c r="B442" s="299" t="s">
        <v>63</v>
      </c>
      <c r="C442" s="299" t="s">
        <v>13</v>
      </c>
      <c r="D442" s="299" t="s">
        <v>18</v>
      </c>
      <c r="E442" s="299"/>
      <c r="F442" s="350" t="s">
        <v>383</v>
      </c>
      <c r="G442" s="350" t="s">
        <v>374</v>
      </c>
      <c r="H442" s="299" t="s">
        <v>67</v>
      </c>
      <c r="I442" s="299">
        <v>3</v>
      </c>
      <c r="J442" s="251">
        <v>5000000</v>
      </c>
      <c r="K442" s="300">
        <f t="shared" ref="K442:K443" si="308">IF(J442="",1,((L442/J442)-1))</f>
        <v>7.0000000000000062E-2</v>
      </c>
      <c r="L442" s="311">
        <f>IF(H442="OTRO",(J442*1.05),VLOOKUP((I442&amp;H442),'ESCALAS Salarios'!$D$2:$F$30,3,0))</f>
        <v>5350000</v>
      </c>
      <c r="M442" s="299">
        <v>1</v>
      </c>
      <c r="N442" s="299" t="s">
        <v>485</v>
      </c>
      <c r="O442" s="250">
        <v>45639</v>
      </c>
      <c r="P442" s="316">
        <v>45646</v>
      </c>
      <c r="Q442" s="312">
        <f t="shared" ref="Q442:Q443" si="309">IF($N442="MENSUAL",ROUND((((P442-O442))/30),0)*$L442*$M442,((P442-O442)/30)*$L442*$M442)</f>
        <v>1248333.3333333333</v>
      </c>
      <c r="R442" s="250"/>
      <c r="S442" s="250"/>
      <c r="T442" s="312">
        <f t="shared" ref="T442:T443" si="310">IF($N442="MENSUAL",ROUND((((S442-R442))/30),0)*$L442,((S442-R442)/30)*$L442)</f>
        <v>0</v>
      </c>
      <c r="U442" s="318">
        <f t="shared" ref="U442:U443" si="311">ROUND((((P442-O442)+(S442-R442))/30),0)</f>
        <v>0</v>
      </c>
      <c r="V442" s="352">
        <f t="shared" ref="V442:V443" si="312">+Q442+T442</f>
        <v>1248333.3333333333</v>
      </c>
      <c r="W442" s="313">
        <v>52833333.333333336</v>
      </c>
      <c r="X442" s="353">
        <f t="shared" ref="X442:X443" si="313">IF(W442="",1,((V442/W442)-1))</f>
        <v>-0.9763722397476341</v>
      </c>
      <c r="Y442" s="375">
        <v>19370679</v>
      </c>
      <c r="Z442" s="373" t="s">
        <v>414</v>
      </c>
      <c r="AA442" s="356">
        <f t="shared" ref="AA442:AA443" si="314">+V442</f>
        <v>1248333.3333333333</v>
      </c>
      <c r="AB442" s="270" t="s">
        <v>243</v>
      </c>
      <c r="AC442" s="393" t="s">
        <v>1</v>
      </c>
      <c r="AD442" s="358" t="s">
        <v>361</v>
      </c>
      <c r="AE442" s="358" t="s">
        <v>244</v>
      </c>
      <c r="AF442" s="359" t="str">
        <f t="shared" ref="AF442:AF443" si="315">"CON-"&amp;A442</f>
        <v>CON-440</v>
      </c>
      <c r="AG442" s="270">
        <v>80111600</v>
      </c>
      <c r="AH442" s="249" t="s">
        <v>803</v>
      </c>
      <c r="AI442" s="301">
        <f t="shared" ref="AI442:AI443" si="316">+O442</f>
        <v>45639</v>
      </c>
      <c r="AJ442" s="301">
        <f t="shared" ref="AJ442:AJ443" si="317">+AI442</f>
        <v>45639</v>
      </c>
      <c r="AK442" s="302">
        <f t="shared" ref="AK442:AK443" si="318">+U442</f>
        <v>0</v>
      </c>
      <c r="AL442" s="303" t="s">
        <v>241</v>
      </c>
      <c r="AM442" s="304" t="s">
        <v>242</v>
      </c>
      <c r="AN442" s="305">
        <f t="shared" ref="AN442:AN443" si="319">+V442</f>
        <v>1248333.3333333333</v>
      </c>
      <c r="AO442" s="305">
        <f t="shared" ref="AO442:AO443" si="320">+AN442</f>
        <v>1248333.3333333333</v>
      </c>
      <c r="AP442" s="303" t="s">
        <v>244</v>
      </c>
      <c r="AQ442" s="303" t="s">
        <v>245</v>
      </c>
      <c r="AR442" s="360" t="s">
        <v>246</v>
      </c>
      <c r="AS442" s="306" t="s">
        <v>247</v>
      </c>
      <c r="AT442" s="307" t="str">
        <f t="shared" ref="AT442:AT443" si="321">D442</f>
        <v>SUBDIRECCIÓN DE ADMISIONES Y REGISTRO</v>
      </c>
      <c r="AU442" s="308" t="s">
        <v>248</v>
      </c>
      <c r="AV442" s="361" t="s">
        <v>249</v>
      </c>
      <c r="AW442" s="303" t="s">
        <v>244</v>
      </c>
      <c r="AX442" s="303" t="s">
        <v>244</v>
      </c>
      <c r="AY442" s="362" t="s">
        <v>250</v>
      </c>
      <c r="AZ442" s="363" t="s">
        <v>251</v>
      </c>
      <c r="BA442" s="363" t="s">
        <v>252</v>
      </c>
      <c r="BB442" s="363" t="s">
        <v>250</v>
      </c>
      <c r="BC442" s="363"/>
      <c r="BD442" s="363"/>
    </row>
    <row r="443" spans="1:56" ht="72" x14ac:dyDescent="0.2">
      <c r="A443" s="484">
        <v>441</v>
      </c>
      <c r="B443" s="299" t="s">
        <v>63</v>
      </c>
      <c r="C443" s="299" t="s">
        <v>25</v>
      </c>
      <c r="D443" s="299" t="s">
        <v>81</v>
      </c>
      <c r="E443" s="299"/>
      <c r="F443" s="350" t="s">
        <v>383</v>
      </c>
      <c r="G443" s="350" t="s">
        <v>374</v>
      </c>
      <c r="H443" s="299" t="s">
        <v>69</v>
      </c>
      <c r="I443" s="299">
        <v>6</v>
      </c>
      <c r="J443" s="251">
        <v>4200000</v>
      </c>
      <c r="K443" s="300">
        <f t="shared" si="308"/>
        <v>4.7619047619047672E-2</v>
      </c>
      <c r="L443" s="311">
        <f>IF(H443="OTRO",(J443*1.05),VLOOKUP((I443&amp;H443),'ESCALAS Salarios'!$D$2:$F$30,3,0))</f>
        <v>4400000</v>
      </c>
      <c r="M443" s="299">
        <v>1</v>
      </c>
      <c r="N443" s="299" t="s">
        <v>485</v>
      </c>
      <c r="O443" s="250">
        <v>45597</v>
      </c>
      <c r="P443" s="316">
        <v>45657</v>
      </c>
      <c r="Q443" s="312">
        <f t="shared" si="309"/>
        <v>8800000</v>
      </c>
      <c r="R443" s="250"/>
      <c r="S443" s="250"/>
      <c r="T443" s="312">
        <f t="shared" si="310"/>
        <v>0</v>
      </c>
      <c r="U443" s="318">
        <f t="shared" si="311"/>
        <v>2</v>
      </c>
      <c r="V443" s="352">
        <f t="shared" si="312"/>
        <v>8800000</v>
      </c>
      <c r="W443" s="313">
        <v>42280000</v>
      </c>
      <c r="X443" s="353">
        <f t="shared" si="313"/>
        <v>-0.79186376537369918</v>
      </c>
      <c r="Y443" s="375">
        <v>1005450904</v>
      </c>
      <c r="Z443" s="376" t="s">
        <v>426</v>
      </c>
      <c r="AA443" s="356">
        <f t="shared" si="314"/>
        <v>8800000</v>
      </c>
      <c r="AB443" s="270" t="s">
        <v>243</v>
      </c>
      <c r="AC443" s="393" t="s">
        <v>1</v>
      </c>
      <c r="AD443" s="358" t="s">
        <v>361</v>
      </c>
      <c r="AE443" s="358" t="s">
        <v>244</v>
      </c>
      <c r="AF443" s="359" t="str">
        <f t="shared" si="315"/>
        <v>CON-441</v>
      </c>
      <c r="AG443" s="270">
        <v>80111600</v>
      </c>
      <c r="AH443" s="249" t="s">
        <v>804</v>
      </c>
      <c r="AI443" s="301">
        <f t="shared" si="316"/>
        <v>45597</v>
      </c>
      <c r="AJ443" s="301">
        <f t="shared" si="317"/>
        <v>45597</v>
      </c>
      <c r="AK443" s="302">
        <f t="shared" si="318"/>
        <v>2</v>
      </c>
      <c r="AL443" s="303" t="s">
        <v>241</v>
      </c>
      <c r="AM443" s="304" t="s">
        <v>242</v>
      </c>
      <c r="AN443" s="305">
        <f t="shared" si="319"/>
        <v>8800000</v>
      </c>
      <c r="AO443" s="305">
        <f t="shared" si="320"/>
        <v>8800000</v>
      </c>
      <c r="AP443" s="303" t="s">
        <v>244</v>
      </c>
      <c r="AQ443" s="303" t="s">
        <v>245</v>
      </c>
      <c r="AR443" s="360" t="s">
        <v>246</v>
      </c>
      <c r="AS443" s="306" t="s">
        <v>247</v>
      </c>
      <c r="AT443" s="307" t="str">
        <f t="shared" si="321"/>
        <v xml:space="preserve">GRUPO DE CONTRATACIÓN </v>
      </c>
      <c r="AU443" s="308" t="s">
        <v>248</v>
      </c>
      <c r="AV443" s="361" t="s">
        <v>249</v>
      </c>
      <c r="AW443" s="303" t="s">
        <v>244</v>
      </c>
      <c r="AX443" s="303" t="s">
        <v>244</v>
      </c>
      <c r="AY443" s="362" t="s">
        <v>250</v>
      </c>
      <c r="AZ443" s="363" t="s">
        <v>251</v>
      </c>
      <c r="BA443" s="363" t="s">
        <v>252</v>
      </c>
      <c r="BB443" s="363" t="s">
        <v>250</v>
      </c>
      <c r="BC443" s="363"/>
      <c r="BD443" s="363"/>
    </row>
    <row r="444" spans="1:56" customFormat="1" ht="60" x14ac:dyDescent="0.25">
      <c r="A444" s="484">
        <v>442</v>
      </c>
      <c r="B444" s="299" t="s">
        <v>90</v>
      </c>
      <c r="C444" s="299" t="s">
        <v>78</v>
      </c>
      <c r="D444" s="299" t="s">
        <v>375</v>
      </c>
      <c r="E444" s="299"/>
      <c r="F444" s="438" t="s">
        <v>383</v>
      </c>
      <c r="G444" s="438" t="s">
        <v>374</v>
      </c>
      <c r="H444" s="45" t="s">
        <v>69</v>
      </c>
      <c r="I444" s="299"/>
      <c r="J444" s="251">
        <v>1967592.5925925926</v>
      </c>
      <c r="K444" s="300">
        <v>5.0000000000000044E-2</v>
      </c>
      <c r="L444" s="441" t="s">
        <v>713</v>
      </c>
      <c r="M444" s="299">
        <v>1</v>
      </c>
      <c r="N444" s="299" t="s">
        <v>686</v>
      </c>
      <c r="O444" s="442">
        <v>45573</v>
      </c>
      <c r="P444" s="443">
        <v>45626</v>
      </c>
      <c r="Q444" s="444">
        <v>3139660</v>
      </c>
      <c r="R444" s="472"/>
      <c r="S444" s="472"/>
      <c r="T444" s="444">
        <v>0</v>
      </c>
      <c r="U444" s="445">
        <v>2</v>
      </c>
      <c r="V444" s="444">
        <v>3139660</v>
      </c>
      <c r="W444" s="450">
        <v>1750000000</v>
      </c>
      <c r="X444" s="447">
        <v>-0.43899999999999995</v>
      </c>
      <c r="Y444" s="449"/>
      <c r="Z444" s="449" t="s">
        <v>376</v>
      </c>
      <c r="AA444" s="450">
        <v>981750000</v>
      </c>
      <c r="AB444" s="451" t="s">
        <v>243</v>
      </c>
      <c r="AC444" s="473" t="s">
        <v>373</v>
      </c>
      <c r="AD444" s="473" t="s">
        <v>361</v>
      </c>
      <c r="AE444" s="452"/>
      <c r="AF444" s="359" t="str">
        <f>"CLE-"&amp;A444</f>
        <v>CLE-442</v>
      </c>
      <c r="AG444" s="451">
        <v>80111600</v>
      </c>
      <c r="AH444" s="310" t="s">
        <v>805</v>
      </c>
      <c r="AI444" s="301" t="s">
        <v>792</v>
      </c>
      <c r="AJ444" s="301" t="s">
        <v>792</v>
      </c>
      <c r="AK444" s="302">
        <v>2</v>
      </c>
      <c r="AL444" s="303" t="s">
        <v>241</v>
      </c>
      <c r="AM444" s="304" t="s">
        <v>242</v>
      </c>
      <c r="AN444" s="446">
        <v>3139660</v>
      </c>
      <c r="AO444" s="446">
        <v>3139660</v>
      </c>
      <c r="AP444" s="303" t="s">
        <v>244</v>
      </c>
      <c r="AQ444" s="303" t="s">
        <v>245</v>
      </c>
      <c r="AR444" s="460" t="s">
        <v>246</v>
      </c>
      <c r="AS444" s="306" t="s">
        <v>247</v>
      </c>
      <c r="AT444" s="307" t="s">
        <v>372</v>
      </c>
      <c r="AU444" s="308" t="s">
        <v>248</v>
      </c>
      <c r="AV444" s="470" t="s">
        <v>249</v>
      </c>
      <c r="AW444" s="303" t="s">
        <v>244</v>
      </c>
      <c r="AX444" s="303" t="s">
        <v>244</v>
      </c>
      <c r="AY444" s="474" t="s">
        <v>250</v>
      </c>
      <c r="AZ444" s="474" t="s">
        <v>251</v>
      </c>
      <c r="BA444" s="474" t="s">
        <v>252</v>
      </c>
      <c r="BB444" s="474" t="s">
        <v>250</v>
      </c>
      <c r="BC444" s="474"/>
      <c r="BD444" s="474"/>
    </row>
    <row r="445" spans="1:56" customFormat="1" ht="60" x14ac:dyDescent="0.25">
      <c r="A445" s="484">
        <v>443</v>
      </c>
      <c r="B445" s="299" t="s">
        <v>90</v>
      </c>
      <c r="C445" s="299" t="s">
        <v>78</v>
      </c>
      <c r="D445" s="299" t="s">
        <v>375</v>
      </c>
      <c r="E445" s="299"/>
      <c r="F445" s="438" t="s">
        <v>383</v>
      </c>
      <c r="G445" s="438" t="s">
        <v>374</v>
      </c>
      <c r="H445" s="45" t="s">
        <v>69</v>
      </c>
      <c r="I445" s="299"/>
      <c r="J445" s="251">
        <v>1967592.5925925926</v>
      </c>
      <c r="K445" s="300">
        <v>5.0000000000000044E-2</v>
      </c>
      <c r="L445" s="441" t="s">
        <v>713</v>
      </c>
      <c r="M445" s="299">
        <v>1</v>
      </c>
      <c r="N445" s="299" t="s">
        <v>686</v>
      </c>
      <c r="O445" s="442">
        <v>45573</v>
      </c>
      <c r="P445" s="443">
        <v>45626</v>
      </c>
      <c r="Q445" s="444">
        <v>2782736</v>
      </c>
      <c r="R445" s="472"/>
      <c r="S445" s="472"/>
      <c r="T445" s="444">
        <v>0</v>
      </c>
      <c r="U445" s="445">
        <v>2</v>
      </c>
      <c r="V445" s="444">
        <v>2782736</v>
      </c>
      <c r="W445" s="450">
        <v>1750000000</v>
      </c>
      <c r="X445" s="447">
        <v>-0.43899999999999995</v>
      </c>
      <c r="Y445" s="449"/>
      <c r="Z445" s="449" t="s">
        <v>376</v>
      </c>
      <c r="AA445" s="450">
        <v>981750000</v>
      </c>
      <c r="AB445" s="451" t="s">
        <v>243</v>
      </c>
      <c r="AC445" s="473" t="s">
        <v>373</v>
      </c>
      <c r="AD445" s="473" t="s">
        <v>361</v>
      </c>
      <c r="AE445" s="452"/>
      <c r="AF445" s="359" t="str">
        <f t="shared" ref="AF445:AF450" si="322">"CLE-"&amp;A445</f>
        <v>CLE-443</v>
      </c>
      <c r="AG445" s="451">
        <v>80111600</v>
      </c>
      <c r="AH445" s="310" t="s">
        <v>806</v>
      </c>
      <c r="AI445" s="301" t="s">
        <v>792</v>
      </c>
      <c r="AJ445" s="301" t="s">
        <v>792</v>
      </c>
      <c r="AK445" s="302">
        <v>2</v>
      </c>
      <c r="AL445" s="303" t="s">
        <v>241</v>
      </c>
      <c r="AM445" s="304" t="s">
        <v>242</v>
      </c>
      <c r="AN445" s="446">
        <v>2782736</v>
      </c>
      <c r="AO445" s="446">
        <v>2782736</v>
      </c>
      <c r="AP445" s="303" t="s">
        <v>244</v>
      </c>
      <c r="AQ445" s="303" t="s">
        <v>245</v>
      </c>
      <c r="AR445" s="460" t="s">
        <v>246</v>
      </c>
      <c r="AS445" s="306" t="s">
        <v>247</v>
      </c>
      <c r="AT445" s="307" t="s">
        <v>372</v>
      </c>
      <c r="AU445" s="308" t="s">
        <v>248</v>
      </c>
      <c r="AV445" s="470" t="s">
        <v>249</v>
      </c>
      <c r="AW445" s="303" t="s">
        <v>244</v>
      </c>
      <c r="AX445" s="303" t="s">
        <v>244</v>
      </c>
      <c r="AY445" s="474" t="s">
        <v>250</v>
      </c>
      <c r="AZ445" s="474" t="s">
        <v>251</v>
      </c>
      <c r="BA445" s="474" t="s">
        <v>252</v>
      </c>
      <c r="BB445" s="474" t="s">
        <v>250</v>
      </c>
      <c r="BC445" s="474"/>
      <c r="BD445" s="474"/>
    </row>
    <row r="446" spans="1:56" customFormat="1" ht="60" x14ac:dyDescent="0.25">
      <c r="A446" s="484">
        <v>444</v>
      </c>
      <c r="B446" s="299" t="s">
        <v>90</v>
      </c>
      <c r="C446" s="299" t="s">
        <v>78</v>
      </c>
      <c r="D446" s="299" t="s">
        <v>375</v>
      </c>
      <c r="E446" s="299"/>
      <c r="F446" s="438" t="s">
        <v>383</v>
      </c>
      <c r="G446" s="438" t="s">
        <v>374</v>
      </c>
      <c r="H446" s="45" t="s">
        <v>69</v>
      </c>
      <c r="I446" s="299"/>
      <c r="J446" s="251">
        <v>1967592.5925925926</v>
      </c>
      <c r="K446" s="300">
        <v>5.0000000000000044E-2</v>
      </c>
      <c r="L446" s="441" t="s">
        <v>713</v>
      </c>
      <c r="M446" s="299">
        <v>1</v>
      </c>
      <c r="N446" s="299" t="s">
        <v>686</v>
      </c>
      <c r="O446" s="442">
        <v>45573</v>
      </c>
      <c r="P446" s="443">
        <v>45626</v>
      </c>
      <c r="Q446" s="444">
        <v>2939436</v>
      </c>
      <c r="R446" s="472"/>
      <c r="S446" s="472"/>
      <c r="T446" s="444">
        <v>0</v>
      </c>
      <c r="U446" s="445">
        <v>2</v>
      </c>
      <c r="V446" s="444">
        <v>2939436</v>
      </c>
      <c r="W446" s="450">
        <v>1750000000</v>
      </c>
      <c r="X446" s="447">
        <v>-0.43899999999999995</v>
      </c>
      <c r="Y446" s="449"/>
      <c r="Z446" s="449" t="s">
        <v>376</v>
      </c>
      <c r="AA446" s="450">
        <v>981750000</v>
      </c>
      <c r="AB446" s="451" t="s">
        <v>243</v>
      </c>
      <c r="AC446" s="473" t="s">
        <v>373</v>
      </c>
      <c r="AD446" s="473" t="s">
        <v>361</v>
      </c>
      <c r="AE446" s="452"/>
      <c r="AF446" s="359" t="str">
        <f t="shared" si="322"/>
        <v>CLE-444</v>
      </c>
      <c r="AG446" s="451">
        <v>80111600</v>
      </c>
      <c r="AH446" s="310" t="s">
        <v>807</v>
      </c>
      <c r="AI446" s="301" t="s">
        <v>792</v>
      </c>
      <c r="AJ446" s="301" t="s">
        <v>792</v>
      </c>
      <c r="AK446" s="302">
        <v>2</v>
      </c>
      <c r="AL446" s="303" t="s">
        <v>241</v>
      </c>
      <c r="AM446" s="304" t="s">
        <v>242</v>
      </c>
      <c r="AN446" s="446">
        <v>2939436</v>
      </c>
      <c r="AO446" s="446">
        <v>2939436</v>
      </c>
      <c r="AP446" s="303" t="s">
        <v>244</v>
      </c>
      <c r="AQ446" s="303" t="s">
        <v>245</v>
      </c>
      <c r="AR446" s="460" t="s">
        <v>246</v>
      </c>
      <c r="AS446" s="306" t="s">
        <v>247</v>
      </c>
      <c r="AT446" s="307" t="s">
        <v>372</v>
      </c>
      <c r="AU446" s="308" t="s">
        <v>248</v>
      </c>
      <c r="AV446" s="470" t="s">
        <v>249</v>
      </c>
      <c r="AW446" s="303" t="s">
        <v>244</v>
      </c>
      <c r="AX446" s="303" t="s">
        <v>244</v>
      </c>
      <c r="AY446" s="474" t="s">
        <v>250</v>
      </c>
      <c r="AZ446" s="474" t="s">
        <v>251</v>
      </c>
      <c r="BA446" s="474" t="s">
        <v>252</v>
      </c>
      <c r="BB446" s="474" t="s">
        <v>250</v>
      </c>
      <c r="BC446" s="474"/>
      <c r="BD446" s="474"/>
    </row>
    <row r="447" spans="1:56" customFormat="1" ht="60" x14ac:dyDescent="0.25">
      <c r="A447" s="484">
        <v>445</v>
      </c>
      <c r="B447" s="299" t="s">
        <v>90</v>
      </c>
      <c r="C447" s="299" t="s">
        <v>78</v>
      </c>
      <c r="D447" s="299" t="s">
        <v>375</v>
      </c>
      <c r="E447" s="299"/>
      <c r="F447" s="438" t="s">
        <v>383</v>
      </c>
      <c r="G447" s="438" t="s">
        <v>374</v>
      </c>
      <c r="H447" s="45" t="s">
        <v>69</v>
      </c>
      <c r="I447" s="299"/>
      <c r="J447" s="251">
        <v>1967592.5925925926</v>
      </c>
      <c r="K447" s="300">
        <v>5.0000000000000044E-2</v>
      </c>
      <c r="L447" s="441" t="s">
        <v>713</v>
      </c>
      <c r="M447" s="299">
        <v>1</v>
      </c>
      <c r="N447" s="299" t="s">
        <v>686</v>
      </c>
      <c r="O447" s="442">
        <v>45573</v>
      </c>
      <c r="P447" s="443">
        <v>45626</v>
      </c>
      <c r="Q447" s="444">
        <v>2939436</v>
      </c>
      <c r="R447" s="472"/>
      <c r="S447" s="472"/>
      <c r="T447" s="444">
        <v>0</v>
      </c>
      <c r="U447" s="445">
        <v>2</v>
      </c>
      <c r="V447" s="444">
        <v>2939436</v>
      </c>
      <c r="W447" s="450">
        <v>1750000000</v>
      </c>
      <c r="X447" s="447">
        <v>-0.43899999999999995</v>
      </c>
      <c r="Y447" s="449"/>
      <c r="Z447" s="449" t="s">
        <v>376</v>
      </c>
      <c r="AA447" s="450">
        <v>981750000</v>
      </c>
      <c r="AB447" s="451" t="s">
        <v>243</v>
      </c>
      <c r="AC447" s="473" t="s">
        <v>373</v>
      </c>
      <c r="AD447" s="473" t="s">
        <v>361</v>
      </c>
      <c r="AE447" s="452"/>
      <c r="AF447" s="359" t="str">
        <f t="shared" si="322"/>
        <v>CLE-445</v>
      </c>
      <c r="AG447" s="451">
        <v>80111600</v>
      </c>
      <c r="AH447" s="310" t="s">
        <v>808</v>
      </c>
      <c r="AI447" s="301" t="s">
        <v>792</v>
      </c>
      <c r="AJ447" s="301" t="s">
        <v>792</v>
      </c>
      <c r="AK447" s="302">
        <v>2</v>
      </c>
      <c r="AL447" s="303" t="s">
        <v>241</v>
      </c>
      <c r="AM447" s="304" t="s">
        <v>242</v>
      </c>
      <c r="AN447" s="446">
        <v>2939436</v>
      </c>
      <c r="AO447" s="446">
        <v>2939436</v>
      </c>
      <c r="AP447" s="303" t="s">
        <v>244</v>
      </c>
      <c r="AQ447" s="303" t="s">
        <v>245</v>
      </c>
      <c r="AR447" s="460" t="s">
        <v>246</v>
      </c>
      <c r="AS447" s="306" t="s">
        <v>247</v>
      </c>
      <c r="AT447" s="307" t="s">
        <v>372</v>
      </c>
      <c r="AU447" s="308" t="s">
        <v>248</v>
      </c>
      <c r="AV447" s="470" t="s">
        <v>249</v>
      </c>
      <c r="AW447" s="303" t="s">
        <v>244</v>
      </c>
      <c r="AX447" s="303" t="s">
        <v>244</v>
      </c>
      <c r="AY447" s="474" t="s">
        <v>250</v>
      </c>
      <c r="AZ447" s="474" t="s">
        <v>251</v>
      </c>
      <c r="BA447" s="474" t="s">
        <v>252</v>
      </c>
      <c r="BB447" s="474" t="s">
        <v>250</v>
      </c>
      <c r="BC447" s="474"/>
      <c r="BD447" s="474"/>
    </row>
    <row r="448" spans="1:56" customFormat="1" ht="60" x14ac:dyDescent="0.25">
      <c r="A448" s="484">
        <v>446</v>
      </c>
      <c r="B448" s="299" t="s">
        <v>90</v>
      </c>
      <c r="C448" s="299" t="s">
        <v>78</v>
      </c>
      <c r="D448" s="299" t="s">
        <v>375</v>
      </c>
      <c r="E448" s="299"/>
      <c r="F448" s="438" t="s">
        <v>383</v>
      </c>
      <c r="G448" s="438" t="s">
        <v>374</v>
      </c>
      <c r="H448" s="45" t="s">
        <v>69</v>
      </c>
      <c r="I448" s="299"/>
      <c r="J448" s="251">
        <v>1967592.5925925926</v>
      </c>
      <c r="K448" s="300">
        <v>5.0000000000000044E-2</v>
      </c>
      <c r="L448" s="441" t="s">
        <v>713</v>
      </c>
      <c r="M448" s="299">
        <v>1</v>
      </c>
      <c r="N448" s="299" t="s">
        <v>686</v>
      </c>
      <c r="O448" s="442">
        <v>45573</v>
      </c>
      <c r="P448" s="443">
        <v>45626</v>
      </c>
      <c r="Q448" s="444">
        <v>2968328</v>
      </c>
      <c r="R448" s="472"/>
      <c r="S448" s="472"/>
      <c r="T448" s="444">
        <v>0</v>
      </c>
      <c r="U448" s="445">
        <v>2</v>
      </c>
      <c r="V448" s="444">
        <v>2968328</v>
      </c>
      <c r="W448" s="450">
        <v>1750000000</v>
      </c>
      <c r="X448" s="447">
        <v>-0.43899999999999995</v>
      </c>
      <c r="Y448" s="449"/>
      <c r="Z448" s="449" t="s">
        <v>376</v>
      </c>
      <c r="AA448" s="450">
        <v>981750000</v>
      </c>
      <c r="AB448" s="451" t="s">
        <v>243</v>
      </c>
      <c r="AC448" s="473" t="s">
        <v>373</v>
      </c>
      <c r="AD448" s="473" t="s">
        <v>361</v>
      </c>
      <c r="AE448" s="452"/>
      <c r="AF448" s="359" t="str">
        <f t="shared" si="322"/>
        <v>CLE-446</v>
      </c>
      <c r="AG448" s="451">
        <v>80111600</v>
      </c>
      <c r="AH448" s="310" t="s">
        <v>809</v>
      </c>
      <c r="AI448" s="301" t="s">
        <v>792</v>
      </c>
      <c r="AJ448" s="301" t="s">
        <v>792</v>
      </c>
      <c r="AK448" s="302">
        <v>2</v>
      </c>
      <c r="AL448" s="303" t="s">
        <v>241</v>
      </c>
      <c r="AM448" s="304" t="s">
        <v>242</v>
      </c>
      <c r="AN448" s="446">
        <v>2968328</v>
      </c>
      <c r="AO448" s="446">
        <v>2968328</v>
      </c>
      <c r="AP448" s="303" t="s">
        <v>244</v>
      </c>
      <c r="AQ448" s="303" t="s">
        <v>245</v>
      </c>
      <c r="AR448" s="460" t="s">
        <v>246</v>
      </c>
      <c r="AS448" s="306" t="s">
        <v>247</v>
      </c>
      <c r="AT448" s="307" t="s">
        <v>372</v>
      </c>
      <c r="AU448" s="308" t="s">
        <v>248</v>
      </c>
      <c r="AV448" s="470" t="s">
        <v>249</v>
      </c>
      <c r="AW448" s="303" t="s">
        <v>244</v>
      </c>
      <c r="AX448" s="303" t="s">
        <v>244</v>
      </c>
      <c r="AY448" s="474" t="s">
        <v>250</v>
      </c>
      <c r="AZ448" s="474" t="s">
        <v>251</v>
      </c>
      <c r="BA448" s="474" t="s">
        <v>252</v>
      </c>
      <c r="BB448" s="474" t="s">
        <v>250</v>
      </c>
      <c r="BC448" s="474"/>
      <c r="BD448" s="474"/>
    </row>
    <row r="449" spans="1:56" customFormat="1" ht="60" x14ac:dyDescent="0.25">
      <c r="A449" s="484">
        <v>447</v>
      </c>
      <c r="B449" s="299" t="s">
        <v>90</v>
      </c>
      <c r="C449" s="299" t="s">
        <v>78</v>
      </c>
      <c r="D449" s="299" t="s">
        <v>375</v>
      </c>
      <c r="E449" s="299"/>
      <c r="F449" s="438" t="s">
        <v>383</v>
      </c>
      <c r="G449" s="438" t="s">
        <v>374</v>
      </c>
      <c r="H449" s="45" t="s">
        <v>69</v>
      </c>
      <c r="I449" s="299"/>
      <c r="J449" s="251">
        <v>1967592.5925925926</v>
      </c>
      <c r="K449" s="300">
        <v>5.0000000000000044E-2</v>
      </c>
      <c r="L449" s="441" t="s">
        <v>713</v>
      </c>
      <c r="M449" s="299">
        <v>1</v>
      </c>
      <c r="N449" s="299" t="s">
        <v>686</v>
      </c>
      <c r="O449" s="442">
        <v>45573</v>
      </c>
      <c r="P449" s="443">
        <v>45626</v>
      </c>
      <c r="Q449" s="444">
        <v>1328106</v>
      </c>
      <c r="R449" s="472"/>
      <c r="S449" s="472"/>
      <c r="T449" s="444">
        <v>0</v>
      </c>
      <c r="U449" s="445">
        <v>2</v>
      </c>
      <c r="V449" s="444">
        <v>1328106</v>
      </c>
      <c r="W449" s="450">
        <v>1750000000</v>
      </c>
      <c r="X449" s="447">
        <v>-0.43899999999999995</v>
      </c>
      <c r="Y449" s="449"/>
      <c r="Z449" s="449" t="s">
        <v>376</v>
      </c>
      <c r="AA449" s="450">
        <v>981750000</v>
      </c>
      <c r="AB449" s="451" t="s">
        <v>243</v>
      </c>
      <c r="AC449" s="473" t="s">
        <v>373</v>
      </c>
      <c r="AD449" s="473" t="s">
        <v>361</v>
      </c>
      <c r="AE449" s="452" t="s">
        <v>244</v>
      </c>
      <c r="AF449" s="359" t="str">
        <f t="shared" si="322"/>
        <v>CLE-447</v>
      </c>
      <c r="AG449" s="451">
        <v>80111600</v>
      </c>
      <c r="AH449" s="310" t="s">
        <v>810</v>
      </c>
      <c r="AI449" s="301" t="s">
        <v>792</v>
      </c>
      <c r="AJ449" s="301" t="s">
        <v>792</v>
      </c>
      <c r="AK449" s="302">
        <v>2</v>
      </c>
      <c r="AL449" s="303" t="s">
        <v>241</v>
      </c>
      <c r="AM449" s="304" t="s">
        <v>242</v>
      </c>
      <c r="AN449" s="446">
        <v>1328106</v>
      </c>
      <c r="AO449" s="446">
        <v>1328106</v>
      </c>
      <c r="AP449" s="303" t="s">
        <v>244</v>
      </c>
      <c r="AQ449" s="303" t="s">
        <v>245</v>
      </c>
      <c r="AR449" s="460" t="s">
        <v>246</v>
      </c>
      <c r="AS449" s="306" t="s">
        <v>247</v>
      </c>
      <c r="AT449" s="307" t="s">
        <v>372</v>
      </c>
      <c r="AU449" s="308" t="s">
        <v>248</v>
      </c>
      <c r="AV449" s="470" t="s">
        <v>249</v>
      </c>
      <c r="AW449" s="303" t="s">
        <v>244</v>
      </c>
      <c r="AX449" s="303" t="s">
        <v>244</v>
      </c>
      <c r="AY449" s="474" t="s">
        <v>250</v>
      </c>
      <c r="AZ449" s="474" t="s">
        <v>251</v>
      </c>
      <c r="BA449" s="474" t="s">
        <v>252</v>
      </c>
      <c r="BB449" s="474" t="s">
        <v>250</v>
      </c>
      <c r="BC449" s="474"/>
      <c r="BD449" s="474"/>
    </row>
    <row r="450" spans="1:56" customFormat="1" ht="60" x14ac:dyDescent="0.25">
      <c r="A450" s="484">
        <v>448</v>
      </c>
      <c r="B450" s="299" t="s">
        <v>90</v>
      </c>
      <c r="C450" s="299" t="s">
        <v>78</v>
      </c>
      <c r="D450" s="299" t="s">
        <v>375</v>
      </c>
      <c r="E450" s="299"/>
      <c r="F450" s="438" t="s">
        <v>383</v>
      </c>
      <c r="G450" s="438" t="s">
        <v>374</v>
      </c>
      <c r="H450" s="45" t="s">
        <v>69</v>
      </c>
      <c r="I450" s="299"/>
      <c r="J450" s="251">
        <v>1967592.5925925926</v>
      </c>
      <c r="K450" s="300">
        <v>5.0000000000000044E-2</v>
      </c>
      <c r="L450" s="441" t="s">
        <v>713</v>
      </c>
      <c r="M450" s="299">
        <v>1</v>
      </c>
      <c r="N450" s="299" t="s">
        <v>686</v>
      </c>
      <c r="O450" s="442">
        <v>45573</v>
      </c>
      <c r="P450" s="443">
        <v>45626</v>
      </c>
      <c r="Q450" s="444">
        <v>345158</v>
      </c>
      <c r="R450" s="472"/>
      <c r="S450" s="472"/>
      <c r="T450" s="444">
        <v>0</v>
      </c>
      <c r="U450" s="445">
        <v>2</v>
      </c>
      <c r="V450" s="444">
        <v>345158</v>
      </c>
      <c r="W450" s="450">
        <v>1750000000</v>
      </c>
      <c r="X450" s="447">
        <v>-0.43899999999999995</v>
      </c>
      <c r="Y450" s="449"/>
      <c r="Z450" s="449" t="s">
        <v>376</v>
      </c>
      <c r="AA450" s="450">
        <v>981750000</v>
      </c>
      <c r="AB450" s="451" t="s">
        <v>243</v>
      </c>
      <c r="AC450" s="473" t="s">
        <v>373</v>
      </c>
      <c r="AD450" s="473" t="s">
        <v>361</v>
      </c>
      <c r="AE450" s="452" t="s">
        <v>244</v>
      </c>
      <c r="AF450" s="359" t="str">
        <f t="shared" si="322"/>
        <v>CLE-448</v>
      </c>
      <c r="AG450" s="451">
        <v>80111600</v>
      </c>
      <c r="AH450" s="310" t="s">
        <v>811</v>
      </c>
      <c r="AI450" s="301" t="s">
        <v>792</v>
      </c>
      <c r="AJ450" s="301" t="s">
        <v>792</v>
      </c>
      <c r="AK450" s="302">
        <v>2</v>
      </c>
      <c r="AL450" s="303" t="s">
        <v>241</v>
      </c>
      <c r="AM450" s="304" t="s">
        <v>242</v>
      </c>
      <c r="AN450" s="446">
        <v>345158</v>
      </c>
      <c r="AO450" s="446">
        <v>345158</v>
      </c>
      <c r="AP450" s="303" t="s">
        <v>244</v>
      </c>
      <c r="AQ450" s="303" t="s">
        <v>245</v>
      </c>
      <c r="AR450" s="460" t="s">
        <v>246</v>
      </c>
      <c r="AS450" s="306" t="s">
        <v>247</v>
      </c>
      <c r="AT450" s="307" t="s">
        <v>372</v>
      </c>
      <c r="AU450" s="308" t="s">
        <v>248</v>
      </c>
      <c r="AV450" s="470" t="s">
        <v>249</v>
      </c>
      <c r="AW450" s="303" t="s">
        <v>244</v>
      </c>
      <c r="AX450" s="303" t="s">
        <v>244</v>
      </c>
      <c r="AY450" s="474" t="s">
        <v>250</v>
      </c>
      <c r="AZ450" s="474" t="s">
        <v>251</v>
      </c>
      <c r="BA450" s="474" t="s">
        <v>252</v>
      </c>
      <c r="BB450" s="474" t="s">
        <v>250</v>
      </c>
      <c r="BC450" s="474"/>
      <c r="BD450" s="474"/>
    </row>
    <row r="451" spans="1:56" ht="72.75" customHeight="1" x14ac:dyDescent="0.2">
      <c r="A451" s="484">
        <v>449</v>
      </c>
      <c r="B451" s="299" t="s">
        <v>63</v>
      </c>
      <c r="C451" s="299" t="s">
        <v>48</v>
      </c>
      <c r="D451" s="299" t="s">
        <v>48</v>
      </c>
      <c r="E451" s="299"/>
      <c r="F451" s="299"/>
      <c r="G451" s="299"/>
      <c r="H451" s="299" t="s">
        <v>69</v>
      </c>
      <c r="I451" s="299"/>
      <c r="J451" s="299"/>
      <c r="K451" s="299">
        <v>1</v>
      </c>
      <c r="L451" s="311">
        <v>3100000</v>
      </c>
      <c r="M451" s="299">
        <v>1</v>
      </c>
      <c r="N451" s="299" t="s">
        <v>485</v>
      </c>
      <c r="O451" s="442">
        <v>45579</v>
      </c>
      <c r="P451" s="316">
        <v>45610</v>
      </c>
      <c r="Q451" s="312">
        <v>3100000</v>
      </c>
      <c r="R451" s="250"/>
      <c r="S451" s="250"/>
      <c r="T451" s="444">
        <v>3100000</v>
      </c>
      <c r="U451" s="318">
        <v>1</v>
      </c>
      <c r="V451" s="444">
        <v>3100000</v>
      </c>
      <c r="W451" s="356">
        <v>42986666.666666672</v>
      </c>
      <c r="X451" s="270" t="s">
        <v>243</v>
      </c>
      <c r="Y451" s="357" t="s">
        <v>1</v>
      </c>
      <c r="Z451" s="358" t="s">
        <v>361</v>
      </c>
      <c r="AA451" s="356">
        <v>6200000</v>
      </c>
      <c r="AB451" s="270" t="s">
        <v>243</v>
      </c>
      <c r="AC451" s="473" t="s">
        <v>1</v>
      </c>
      <c r="AD451" s="393" t="s">
        <v>361</v>
      </c>
      <c r="AE451" s="358" t="s">
        <v>244</v>
      </c>
      <c r="AF451" s="359" t="str">
        <f>"CON-"&amp;A451</f>
        <v>CON-449</v>
      </c>
      <c r="AG451" s="270">
        <v>80111600</v>
      </c>
      <c r="AH451" s="249" t="s">
        <v>812</v>
      </c>
      <c r="AI451" s="301" t="s">
        <v>769</v>
      </c>
      <c r="AJ451" s="301" t="s">
        <v>769</v>
      </c>
      <c r="AK451" s="302">
        <v>1</v>
      </c>
      <c r="AL451" s="303" t="s">
        <v>241</v>
      </c>
      <c r="AM451" s="304" t="s">
        <v>242</v>
      </c>
      <c r="AN451" s="256">
        <v>3100000</v>
      </c>
      <c r="AO451" s="256">
        <f>AN451</f>
        <v>3100000</v>
      </c>
      <c r="AP451" s="303" t="s">
        <v>244</v>
      </c>
      <c r="AQ451" s="303" t="s">
        <v>245</v>
      </c>
      <c r="AR451" s="360" t="s">
        <v>246</v>
      </c>
      <c r="AS451" s="306" t="s">
        <v>247</v>
      </c>
      <c r="AT451" s="307" t="s">
        <v>48</v>
      </c>
      <c r="AU451" s="308" t="s">
        <v>248</v>
      </c>
      <c r="AV451" s="470" t="s">
        <v>249</v>
      </c>
      <c r="AW451" s="303" t="s">
        <v>244</v>
      </c>
      <c r="AX451" s="303" t="s">
        <v>244</v>
      </c>
      <c r="AY451" s="362" t="s">
        <v>250</v>
      </c>
      <c r="AZ451" s="363" t="s">
        <v>251</v>
      </c>
      <c r="BA451" s="363" t="s">
        <v>252</v>
      </c>
      <c r="BB451" s="363" t="s">
        <v>250</v>
      </c>
      <c r="BC451" s="363"/>
      <c r="BD451" s="363"/>
    </row>
    <row r="452" spans="1:56" ht="72.75" customHeight="1" x14ac:dyDescent="0.2">
      <c r="A452" s="484">
        <v>450</v>
      </c>
      <c r="B452" s="299" t="s">
        <v>63</v>
      </c>
      <c r="C452" s="299" t="s">
        <v>65</v>
      </c>
      <c r="D452" s="299" t="s">
        <v>813</v>
      </c>
      <c r="E452" s="299"/>
      <c r="F452" s="299"/>
      <c r="G452" s="299"/>
      <c r="H452" s="299" t="s">
        <v>471</v>
      </c>
      <c r="I452" s="299"/>
      <c r="J452" s="299"/>
      <c r="K452" s="299">
        <v>1</v>
      </c>
      <c r="L452" s="311">
        <v>7400000</v>
      </c>
      <c r="M452" s="299">
        <v>1</v>
      </c>
      <c r="N452" s="299" t="s">
        <v>485</v>
      </c>
      <c r="O452" s="442">
        <v>45580</v>
      </c>
      <c r="P452" s="316">
        <v>45641</v>
      </c>
      <c r="Q452" s="312">
        <v>7400000</v>
      </c>
      <c r="R452" s="250"/>
      <c r="S452" s="250"/>
      <c r="T452" s="444">
        <v>15000000</v>
      </c>
      <c r="U452" s="318">
        <v>2</v>
      </c>
      <c r="V452" s="444">
        <v>15000000</v>
      </c>
      <c r="W452" s="356">
        <v>42986666.666666672</v>
      </c>
      <c r="X452" s="270" t="s">
        <v>243</v>
      </c>
      <c r="Y452" s="357" t="s">
        <v>1</v>
      </c>
      <c r="Z452" s="358" t="s">
        <v>361</v>
      </c>
      <c r="AA452" s="356">
        <v>6200000</v>
      </c>
      <c r="AB452" s="270" t="s">
        <v>599</v>
      </c>
      <c r="AC452" s="473" t="s">
        <v>1</v>
      </c>
      <c r="AD452" s="393" t="s">
        <v>361</v>
      </c>
      <c r="AE452" s="358" t="s">
        <v>244</v>
      </c>
      <c r="AF452" s="359" t="str">
        <f>"CON-"&amp;A452</f>
        <v>CON-450</v>
      </c>
      <c r="AG452" s="270">
        <v>80111600</v>
      </c>
      <c r="AH452" s="249" t="s">
        <v>814</v>
      </c>
      <c r="AI452" s="301" t="s">
        <v>792</v>
      </c>
      <c r="AJ452" s="301" t="s">
        <v>792</v>
      </c>
      <c r="AK452" s="302">
        <v>2</v>
      </c>
      <c r="AL452" s="303" t="s">
        <v>241</v>
      </c>
      <c r="AM452" s="304" t="s">
        <v>242</v>
      </c>
      <c r="AN452" s="256">
        <v>15000000</v>
      </c>
      <c r="AO452" s="256">
        <f>AN452</f>
        <v>15000000</v>
      </c>
      <c r="AP452" s="303" t="s">
        <v>244</v>
      </c>
      <c r="AQ452" s="303" t="s">
        <v>245</v>
      </c>
      <c r="AR452" s="360" t="s">
        <v>246</v>
      </c>
      <c r="AS452" s="306" t="s">
        <v>247</v>
      </c>
      <c r="AT452" s="307" t="str">
        <f>D452</f>
        <v>OFICINA RELACIONES INTERINSTITUCIONALES</v>
      </c>
      <c r="AU452" s="308" t="s">
        <v>248</v>
      </c>
      <c r="AV452" s="470" t="s">
        <v>249</v>
      </c>
      <c r="AW452" s="303" t="s">
        <v>244</v>
      </c>
      <c r="AX452" s="303" t="s">
        <v>244</v>
      </c>
      <c r="AY452" s="362" t="s">
        <v>250</v>
      </c>
      <c r="AZ452" s="363" t="s">
        <v>251</v>
      </c>
      <c r="BA452" s="363" t="s">
        <v>252</v>
      </c>
      <c r="BB452" s="363" t="s">
        <v>250</v>
      </c>
      <c r="BC452" s="363"/>
      <c r="BD452" s="363"/>
    </row>
    <row r="453" spans="1:56" s="526" customFormat="1" ht="60" x14ac:dyDescent="0.25">
      <c r="A453" s="484">
        <v>451</v>
      </c>
      <c r="B453" s="527" t="s">
        <v>90</v>
      </c>
      <c r="C453" s="527" t="s">
        <v>78</v>
      </c>
      <c r="D453" s="527" t="s">
        <v>375</v>
      </c>
      <c r="E453" s="527"/>
      <c r="F453" s="528" t="s">
        <v>383</v>
      </c>
      <c r="G453" s="528" t="s">
        <v>374</v>
      </c>
      <c r="H453" s="547" t="s">
        <v>69</v>
      </c>
      <c r="I453" s="527"/>
      <c r="J453" s="251">
        <v>1967592.5925925926</v>
      </c>
      <c r="K453" s="529">
        <v>5.0000000000000044E-2</v>
      </c>
      <c r="L453" s="441"/>
      <c r="M453" s="527">
        <v>1</v>
      </c>
      <c r="N453" s="527" t="s">
        <v>686</v>
      </c>
      <c r="O453" s="530">
        <v>45586</v>
      </c>
      <c r="P453" s="531">
        <v>45626</v>
      </c>
      <c r="Q453" s="444">
        <v>2803944</v>
      </c>
      <c r="R453" s="543"/>
      <c r="S453" s="543"/>
      <c r="T453" s="444">
        <v>0</v>
      </c>
      <c r="U453" s="445">
        <v>1</v>
      </c>
      <c r="V453" s="444">
        <v>2803944</v>
      </c>
      <c r="W453" s="450">
        <v>1750000000</v>
      </c>
      <c r="X453" s="532">
        <v>-0.43899999999999995</v>
      </c>
      <c r="Y453" s="542"/>
      <c r="Z453" s="542" t="s">
        <v>376</v>
      </c>
      <c r="AA453" s="450">
        <v>981750000</v>
      </c>
      <c r="AB453" s="533" t="s">
        <v>243</v>
      </c>
      <c r="AC453" s="544" t="s">
        <v>373</v>
      </c>
      <c r="AD453" s="544" t="s">
        <v>361</v>
      </c>
      <c r="AE453" s="534" t="s">
        <v>361</v>
      </c>
      <c r="AF453" s="359" t="str">
        <f t="shared" ref="AF453:AF454" si="323">"CLE-"&amp;A453</f>
        <v>CLE-451</v>
      </c>
      <c r="AG453" s="533">
        <v>80111600</v>
      </c>
      <c r="AH453" s="545" t="s">
        <v>815</v>
      </c>
      <c r="AI453" s="535" t="s">
        <v>792</v>
      </c>
      <c r="AJ453" s="535" t="s">
        <v>792</v>
      </c>
      <c r="AK453" s="302">
        <v>1</v>
      </c>
      <c r="AL453" s="536" t="s">
        <v>241</v>
      </c>
      <c r="AM453" s="537" t="s">
        <v>242</v>
      </c>
      <c r="AN453" s="446">
        <v>2803944</v>
      </c>
      <c r="AO453" s="446">
        <v>2803944</v>
      </c>
      <c r="AP453" s="536" t="s">
        <v>244</v>
      </c>
      <c r="AQ453" s="536" t="s">
        <v>245</v>
      </c>
      <c r="AR453" s="538" t="s">
        <v>246</v>
      </c>
      <c r="AS453" s="539" t="s">
        <v>247</v>
      </c>
      <c r="AT453" s="307" t="s">
        <v>372</v>
      </c>
      <c r="AU453" s="540" t="s">
        <v>248</v>
      </c>
      <c r="AV453" s="541" t="s">
        <v>249</v>
      </c>
      <c r="AW453" s="536" t="s">
        <v>244</v>
      </c>
      <c r="AX453" s="536" t="s">
        <v>244</v>
      </c>
      <c r="AY453" s="546" t="s">
        <v>250</v>
      </c>
      <c r="AZ453" s="546" t="s">
        <v>251</v>
      </c>
      <c r="BA453" s="546" t="s">
        <v>252</v>
      </c>
      <c r="BB453" s="546" t="s">
        <v>250</v>
      </c>
      <c r="BC453" s="546"/>
      <c r="BD453" s="546"/>
    </row>
    <row r="454" spans="1:56" s="526" customFormat="1" ht="60" x14ac:dyDescent="0.25">
      <c r="A454" s="484">
        <v>452</v>
      </c>
      <c r="B454" s="527" t="s">
        <v>90</v>
      </c>
      <c r="C454" s="527" t="s">
        <v>78</v>
      </c>
      <c r="D454" s="527" t="s">
        <v>375</v>
      </c>
      <c r="E454" s="527"/>
      <c r="F454" s="528" t="s">
        <v>383</v>
      </c>
      <c r="G454" s="528" t="s">
        <v>374</v>
      </c>
      <c r="H454" s="547" t="s">
        <v>69</v>
      </c>
      <c r="I454" s="527"/>
      <c r="J454" s="251">
        <v>1967592.5925925926</v>
      </c>
      <c r="K454" s="529">
        <v>5.0000000000000044E-2</v>
      </c>
      <c r="L454" s="441"/>
      <c r="M454" s="527">
        <v>1</v>
      </c>
      <c r="N454" s="527" t="s">
        <v>686</v>
      </c>
      <c r="O454" s="530">
        <v>45586</v>
      </c>
      <c r="P454" s="531">
        <v>45626</v>
      </c>
      <c r="Q454" s="444">
        <v>2821418</v>
      </c>
      <c r="R454" s="543"/>
      <c r="S454" s="543"/>
      <c r="T454" s="444">
        <v>0</v>
      </c>
      <c r="U454" s="445">
        <v>1</v>
      </c>
      <c r="V454" s="444">
        <v>2821418</v>
      </c>
      <c r="W454" s="450">
        <v>1750000000</v>
      </c>
      <c r="X454" s="532">
        <v>-0.43899999999999995</v>
      </c>
      <c r="Y454" s="542"/>
      <c r="Z454" s="542" t="s">
        <v>376</v>
      </c>
      <c r="AA454" s="450">
        <v>981750000</v>
      </c>
      <c r="AB454" s="533" t="s">
        <v>243</v>
      </c>
      <c r="AC454" s="544" t="s">
        <v>373</v>
      </c>
      <c r="AD454" s="544" t="s">
        <v>361</v>
      </c>
      <c r="AE454" s="534" t="s">
        <v>361</v>
      </c>
      <c r="AF454" s="359" t="str">
        <f t="shared" si="323"/>
        <v>CLE-452</v>
      </c>
      <c r="AG454" s="533">
        <v>80111600</v>
      </c>
      <c r="AH454" s="545" t="s">
        <v>816</v>
      </c>
      <c r="AI454" s="535" t="s">
        <v>792</v>
      </c>
      <c r="AJ454" s="535" t="s">
        <v>792</v>
      </c>
      <c r="AK454" s="302">
        <v>1</v>
      </c>
      <c r="AL454" s="536" t="s">
        <v>241</v>
      </c>
      <c r="AM454" s="537" t="s">
        <v>242</v>
      </c>
      <c r="AN454" s="446">
        <v>2821418</v>
      </c>
      <c r="AO454" s="446">
        <v>2821418</v>
      </c>
      <c r="AP454" s="536" t="s">
        <v>244</v>
      </c>
      <c r="AQ454" s="536" t="s">
        <v>245</v>
      </c>
      <c r="AR454" s="538" t="s">
        <v>246</v>
      </c>
      <c r="AS454" s="539" t="s">
        <v>247</v>
      </c>
      <c r="AT454" s="307" t="s">
        <v>372</v>
      </c>
      <c r="AU454" s="540" t="s">
        <v>248</v>
      </c>
      <c r="AV454" s="541" t="s">
        <v>249</v>
      </c>
      <c r="AW454" s="536" t="s">
        <v>244</v>
      </c>
      <c r="AX454" s="536" t="s">
        <v>244</v>
      </c>
      <c r="AY454" s="546" t="s">
        <v>250</v>
      </c>
      <c r="AZ454" s="546" t="s">
        <v>251</v>
      </c>
      <c r="BA454" s="546" t="s">
        <v>252</v>
      </c>
      <c r="BB454" s="546" t="s">
        <v>250</v>
      </c>
      <c r="BC454" s="546"/>
      <c r="BD454" s="546"/>
    </row>
    <row r="455" spans="1:56" x14ac:dyDescent="0.2">
      <c r="F455" s="36"/>
      <c r="G455" s="36"/>
      <c r="AH455" s="433"/>
    </row>
    <row r="456" spans="1:56" x14ac:dyDescent="0.2">
      <c r="F456" s="36"/>
      <c r="G456" s="36"/>
      <c r="AH456" s="433"/>
    </row>
    <row r="457" spans="1:56" x14ac:dyDescent="0.2">
      <c r="B457" s="275"/>
      <c r="C457" s="275"/>
      <c r="D457" s="275"/>
      <c r="F457" s="36"/>
      <c r="G457" s="36"/>
      <c r="H457" s="275"/>
      <c r="I457" s="275"/>
      <c r="J457" s="275"/>
      <c r="K457" s="275"/>
    </row>
    <row r="458" spans="1:56" x14ac:dyDescent="0.2">
      <c r="B458" s="274" t="s">
        <v>696</v>
      </c>
      <c r="C458" s="274"/>
      <c r="D458" s="274"/>
      <c r="E458" s="274"/>
      <c r="F458" s="274"/>
      <c r="G458" s="274"/>
      <c r="H458" s="274" t="s">
        <v>697</v>
      </c>
      <c r="I458" s="274"/>
      <c r="AE458" s="434"/>
    </row>
    <row r="459" spans="1:56" x14ac:dyDescent="0.2">
      <c r="B459" s="36" t="s">
        <v>698</v>
      </c>
      <c r="F459" s="36"/>
      <c r="G459" s="36"/>
      <c r="H459" s="36" t="s">
        <v>699</v>
      </c>
    </row>
    <row r="460" spans="1:56" x14ac:dyDescent="0.2">
      <c r="B460" s="276" t="s">
        <v>700</v>
      </c>
      <c r="C460" s="277">
        <v>45575</v>
      </c>
      <c r="F460" s="36"/>
      <c r="G460" s="36"/>
      <c r="H460" s="276" t="s">
        <v>700</v>
      </c>
      <c r="I460" s="277">
        <v>45575</v>
      </c>
      <c r="L460" s="277"/>
    </row>
    <row r="461" spans="1:56" x14ac:dyDescent="0.2">
      <c r="F461" s="36"/>
      <c r="G461" s="36"/>
    </row>
    <row r="462" spans="1:56" x14ac:dyDescent="0.2">
      <c r="B462" s="278" t="s">
        <v>701</v>
      </c>
      <c r="F462" s="36"/>
      <c r="G462" s="36"/>
    </row>
    <row r="463" spans="1:56" x14ac:dyDescent="0.2">
      <c r="F463" s="36"/>
      <c r="G463" s="36"/>
    </row>
    <row r="464" spans="1:56" x14ac:dyDescent="0.2">
      <c r="B464" s="435" t="s">
        <v>702</v>
      </c>
      <c r="F464" s="36"/>
      <c r="G464" s="36"/>
    </row>
    <row r="465" spans="6:7" x14ac:dyDescent="0.2">
      <c r="F465" s="36"/>
      <c r="G465" s="36"/>
    </row>
  </sheetData>
  <sheetProtection autoFilter="0"/>
  <autoFilter ref="A15:BD450" xr:uid="{156945E7-B644-4AA4-9DC1-31D6B31E1736}"/>
  <mergeCells count="6">
    <mergeCell ref="B9:B11"/>
    <mergeCell ref="E9:E11"/>
    <mergeCell ref="O14:Q14"/>
    <mergeCell ref="R14:T14"/>
    <mergeCell ref="BB13:BD13"/>
    <mergeCell ref="AY14:BA14"/>
  </mergeCells>
  <conditionalFormatting sqref="Z419">
    <cfRule type="cellIs" dxfId="57" priority="44" operator="equal">
      <formula>"NO"</formula>
    </cfRule>
  </conditionalFormatting>
  <conditionalFormatting sqref="AD16:AD101">
    <cfRule type="cellIs" dxfId="56" priority="392" operator="equal">
      <formula>"NO"</formula>
    </cfRule>
  </conditionalFormatting>
  <conditionalFormatting sqref="AD106:AD110">
    <cfRule type="cellIs" dxfId="55" priority="419" operator="equal">
      <formula>"NO"</formula>
    </cfRule>
  </conditionalFormatting>
  <conditionalFormatting sqref="AD113:AD184">
    <cfRule type="cellIs" dxfId="54" priority="259" operator="equal">
      <formula>"NO"</formula>
    </cfRule>
  </conditionalFormatting>
  <conditionalFormatting sqref="AD237:AD259">
    <cfRule type="cellIs" dxfId="53" priority="179" operator="equal">
      <formula>"NO"</formula>
    </cfRule>
  </conditionalFormatting>
  <conditionalFormatting sqref="AD264:AD321">
    <cfRule type="cellIs" dxfId="52" priority="56" operator="equal">
      <formula>"NO"</formula>
    </cfRule>
  </conditionalFormatting>
  <conditionalFormatting sqref="AD323:AD346">
    <cfRule type="cellIs" dxfId="51" priority="163" operator="equal">
      <formula>"NO"</formula>
    </cfRule>
  </conditionalFormatting>
  <conditionalFormatting sqref="AD348:AD350">
    <cfRule type="cellIs" dxfId="50" priority="91" operator="equal">
      <formula>"NO"</formula>
    </cfRule>
  </conditionalFormatting>
  <conditionalFormatting sqref="AD358:AD362">
    <cfRule type="cellIs" dxfId="49" priority="54" operator="equal">
      <formula>"NO"</formula>
    </cfRule>
  </conditionalFormatting>
  <conditionalFormatting sqref="AD375:AD377">
    <cfRule type="cellIs" dxfId="48" priority="77" operator="equal">
      <formula>"NO"</formula>
    </cfRule>
  </conditionalFormatting>
  <conditionalFormatting sqref="AD379:AD380">
    <cfRule type="cellIs" dxfId="47" priority="52" operator="equal">
      <formula>"NO"</formula>
    </cfRule>
  </conditionalFormatting>
  <conditionalFormatting sqref="AD384:AD386">
    <cfRule type="cellIs" dxfId="46" priority="67" operator="equal">
      <formula>"NO"</formula>
    </cfRule>
  </conditionalFormatting>
  <conditionalFormatting sqref="AD389:AD440">
    <cfRule type="cellIs" dxfId="45" priority="34" operator="equal">
      <formula>"NO"</formula>
    </cfRule>
  </conditionalFormatting>
  <conditionalFormatting sqref="AE16:AE233">
    <cfRule type="cellIs" dxfId="44" priority="224" operator="equal">
      <formula>"SI"</formula>
    </cfRule>
  </conditionalFormatting>
  <conditionalFormatting sqref="AE243:AE440">
    <cfRule type="cellIs" dxfId="43" priority="33" operator="equal">
      <formula>"SI"</formula>
    </cfRule>
  </conditionalFormatting>
  <conditionalFormatting sqref="AD442">
    <cfRule type="cellIs" dxfId="42" priority="32" operator="equal">
      <formula>"NO"</formula>
    </cfRule>
  </conditionalFormatting>
  <conditionalFormatting sqref="AE442">
    <cfRule type="cellIs" dxfId="41" priority="31" operator="equal">
      <formula>"SI"</formula>
    </cfRule>
  </conditionalFormatting>
  <conditionalFormatting sqref="AD443">
    <cfRule type="cellIs" dxfId="40" priority="30" operator="equal">
      <formula>"NO"</formula>
    </cfRule>
  </conditionalFormatting>
  <conditionalFormatting sqref="AE443">
    <cfRule type="cellIs" dxfId="39" priority="29" operator="equal">
      <formula>"SI"</formula>
    </cfRule>
  </conditionalFormatting>
  <conditionalFormatting sqref="AD450">
    <cfRule type="cellIs" dxfId="38" priority="15" operator="equal">
      <formula>"NO"</formula>
    </cfRule>
  </conditionalFormatting>
  <conditionalFormatting sqref="AD444">
    <cfRule type="cellIs" dxfId="37" priority="27" operator="equal">
      <formula>"NO"</formula>
    </cfRule>
  </conditionalFormatting>
  <conditionalFormatting sqref="AE444">
    <cfRule type="cellIs" dxfId="36" priority="28" operator="equal">
      <formula>"SI"</formula>
    </cfRule>
  </conditionalFormatting>
  <conditionalFormatting sqref="AD445">
    <cfRule type="cellIs" dxfId="35" priority="25" operator="equal">
      <formula>"NO"</formula>
    </cfRule>
  </conditionalFormatting>
  <conditionalFormatting sqref="AE445">
    <cfRule type="cellIs" dxfId="34" priority="26" operator="equal">
      <formula>"SI"</formula>
    </cfRule>
  </conditionalFormatting>
  <conditionalFormatting sqref="AD446">
    <cfRule type="cellIs" dxfId="33" priority="23" operator="equal">
      <formula>"NO"</formula>
    </cfRule>
  </conditionalFormatting>
  <conditionalFormatting sqref="AE446">
    <cfRule type="cellIs" dxfId="32" priority="24" operator="equal">
      <formula>"SI"</formula>
    </cfRule>
  </conditionalFormatting>
  <conditionalFormatting sqref="AD447">
    <cfRule type="cellIs" dxfId="31" priority="21" operator="equal">
      <formula>"NO"</formula>
    </cfRule>
  </conditionalFormatting>
  <conditionalFormatting sqref="AE447">
    <cfRule type="cellIs" dxfId="30" priority="22" operator="equal">
      <formula>"SI"</formula>
    </cfRule>
  </conditionalFormatting>
  <conditionalFormatting sqref="AD448">
    <cfRule type="cellIs" dxfId="29" priority="19" operator="equal">
      <formula>"NO"</formula>
    </cfRule>
  </conditionalFormatting>
  <conditionalFormatting sqref="AE448">
    <cfRule type="cellIs" dxfId="28" priority="20" operator="equal">
      <formula>"SI"</formula>
    </cfRule>
  </conditionalFormatting>
  <conditionalFormatting sqref="AD449">
    <cfRule type="cellIs" dxfId="27" priority="17" operator="equal">
      <formula>"NO"</formula>
    </cfRule>
  </conditionalFormatting>
  <conditionalFormatting sqref="AE449">
    <cfRule type="cellIs" dxfId="26" priority="18" operator="equal">
      <formula>"SI"</formula>
    </cfRule>
  </conditionalFormatting>
  <conditionalFormatting sqref="AE450">
    <cfRule type="cellIs" dxfId="25" priority="16" operator="equal">
      <formula>"SI"</formula>
    </cfRule>
  </conditionalFormatting>
  <conditionalFormatting sqref="Z451">
    <cfRule type="cellIs" dxfId="24" priority="14" operator="equal">
      <formula>"NO"</formula>
    </cfRule>
  </conditionalFormatting>
  <conditionalFormatting sqref="AD451">
    <cfRule type="cellIs" dxfId="23" priority="13" operator="equal">
      <formula>"NO"</formula>
    </cfRule>
  </conditionalFormatting>
  <conditionalFormatting sqref="AE451">
    <cfRule type="cellIs" dxfId="22" priority="12" operator="equal">
      <formula>"SI"</formula>
    </cfRule>
  </conditionalFormatting>
  <conditionalFormatting sqref="Z452">
    <cfRule type="cellIs" dxfId="21" priority="11" operator="equal">
      <formula>"NO"</formula>
    </cfRule>
  </conditionalFormatting>
  <conditionalFormatting sqref="AD452">
    <cfRule type="cellIs" dxfId="20" priority="10" operator="equal">
      <formula>"NO"</formula>
    </cfRule>
  </conditionalFormatting>
  <conditionalFormatting sqref="AE452">
    <cfRule type="cellIs" dxfId="19" priority="9" operator="equal">
      <formula>"SI"</formula>
    </cfRule>
  </conditionalFormatting>
  <conditionalFormatting sqref="AD453">
    <cfRule type="cellIs" dxfId="14" priority="3" operator="equal">
      <formula>"NO"</formula>
    </cfRule>
  </conditionalFormatting>
  <conditionalFormatting sqref="AE453">
    <cfRule type="cellIs" dxfId="13" priority="4" operator="equal">
      <formula>"SI"</formula>
    </cfRule>
  </conditionalFormatting>
  <conditionalFormatting sqref="AD454">
    <cfRule type="cellIs" dxfId="12" priority="1" operator="equal">
      <formula>"NO"</formula>
    </cfRule>
  </conditionalFormatting>
  <conditionalFormatting sqref="AE454">
    <cfRule type="cellIs" dxfId="11" priority="2" operator="equal">
      <formula>"SI"</formula>
    </cfRule>
  </conditionalFormatting>
  <dataValidations count="4">
    <dataValidation type="list" allowBlank="1" showInputMessage="1" showErrorMessage="1" sqref="AL112:AL114 AL16:AL110 AL174:AL184 AL235:AL236 AL243:AL244 AL250 AL253:AL259 AL263:AL269 AL321 AL327:AL346 AL389:AL391 AL413:AL417 AL419:AL428 AL437:AL440 AL442:AL452" xr:uid="{D484ED0C-5724-4258-A664-0A58F7F795F7}">
      <formula1>"DÍA(S),MES(ES),AÑO(S)"</formula1>
    </dataValidation>
    <dataValidation type="list" allowBlank="1" showInputMessage="1" showErrorMessage="1" sqref="AW112:AX114 AP16:AP114 AW419:AX428 AW174:AX184 AP174:AP184 AW235:AX236 AP235:AP236 AW243:AX244 AP243:AP244 AP250 AW250:AX250 AW253:AX259 AP253:AP259 AP263:AP269 AW263:AX269 AP321 AW321:AX321 AP327:AP346 AW327:AX346 AP389:AP391 AW389:AX391 AP413:AP417 AW413:AX417 AP419:AP428 AW16:AX110 AP437:AP440 AW437:AX440 AP442:AP452 AW442:AX452" xr:uid="{6F3005F9-6CE3-4C13-AF39-6E46E44CCA03}">
      <formula1>"SI,NO"</formula1>
    </dataValidation>
    <dataValidation type="list" allowBlank="1" showInputMessage="1" showErrorMessage="1" sqref="H250 H243:H244 H16:H114 H254:H259 H263:H269 H321 H327:H346 H389:H391 H413:H417 H419:J419 H420:H428 H437:H440 H442:H450 H451:J452" xr:uid="{0AA7BD61-A317-4E6F-9824-505241A8CB27}">
      <formula1>"ASESOR,PROFESIONAL ESPECIALIZADO,PROFESIONAL UNIVERSITARIO,TÉCNICO,ASISTENCIAL,OTRO"</formula1>
    </dataValidation>
    <dataValidation type="list" allowBlank="1" showInputMessage="1" sqref="AI16:AJ114 AI243:AJ244 AI250:AJ250 AI253:AJ259 AI263:AJ269 AI321:AJ321 AI327:AJ346 AI389:AJ391 AI413:AJ417 AI419:AJ428 AI437:AJ440 AI442:AJ452" xr:uid="{F26C1964-0C93-4157-959B-FB7290CAA511}">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31" fitToHeight="0" orientation="landscape" r:id="rId1"/>
  <headerFooter>
    <oddHeader>&amp;RPLAN  ANUAL DE ADQUISICIONES  - PLAN DE CONTRATISTAS 
VIGENCIA 2024</oddHeader>
    <oddFooter xml:space="preserve">&amp;R&amp;N
Proyecto :Paula Citlalli Piñeros Fuentes
Oficina de Desarrollo y Planeación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F8D4DED-629D-41D4-8355-354F483DB187}">
          <x14:formula1>
            <xm:f>'C:\Users\jeespitias\OneDrive - Universidad Pedagogica Nacional\Documentos\JhonE\Presupuesto\Ppto 2023\[PAA UPN 2023 Consolidados 06Ene2023.xlsx]Listas'!#REF!</xm:f>
          </x14:formula1>
          <xm:sqref>AM16:AM114 AQ16:AQ114 AQ174:AQ184 AQ243:AQ244 AM243:AM244 AM250 AQ250 AQ253:AQ259 AM253:AM259 AQ263:AQ269 AM263:AM269 AM321 AQ321 AM327:AM346 AQ327:AQ346 AM389:AM391 AQ389:AQ391 AM413:AM417 AQ413:AQ417 AM419:AM428 AQ419:AQ428 AM437:AM440 AQ437:AQ440 AM442:AM452 AQ442:AQ452</xm:sqref>
        </x14:dataValidation>
        <x14:dataValidation type="list" allowBlank="1" showInputMessage="1" showErrorMessage="1" xr:uid="{FE68D356-5A0D-4E29-ADD2-833323C164D1}">
          <x14:formula1>
            <xm:f>'https://pedagogicaedu-my.sharepoint.com/Users/jeespitias/OneDrive - Universidad Pedagogica Nacional/Documentos/JhonE/Presupuesto/Ppto 2023/[PAA UPN 2023 Consolidados 06Ene2023.xlsx]Listas'!#REF!</xm:f>
          </x14:formula1>
          <xm:sqref>AM174:AM184 AQ235:AQ236 AM235:AM236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6877-A88A-45F7-BDE9-2D68E5CFD5A5}">
  <dimension ref="A2:BF133"/>
  <sheetViews>
    <sheetView topLeftCell="A8" zoomScale="90" zoomScaleNormal="90" workbookViewId="0">
      <pane xSplit="13" ySplit="4" topLeftCell="N125" activePane="bottomRight" state="frozen"/>
      <selection activeCell="A8" sqref="A8"/>
      <selection pane="topRight" activeCell="N8" sqref="N8"/>
      <selection pane="bottomLeft" activeCell="A11" sqref="A11"/>
      <selection pane="bottomRight" activeCell="D129" sqref="D129"/>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4.5703125" style="36" customWidth="1"/>
    <col min="7" max="7" width="11.7109375" style="36" customWidth="1"/>
    <col min="8" max="8" width="13.42578125" style="36" customWidth="1"/>
    <col min="9" max="9" width="6.85546875" style="36" customWidth="1"/>
    <col min="10" max="10" width="13.85546875" style="89" customWidth="1"/>
    <col min="11" max="11" width="10.42578125" style="36" customWidth="1"/>
    <col min="12" max="12" width="14.85546875" style="89" customWidth="1"/>
    <col min="13" max="13" width="9.85546875" style="89" customWidth="1"/>
    <col min="14" max="14" width="8.7109375" style="89" customWidth="1"/>
    <col min="15" max="16" width="11" style="89" customWidth="1"/>
    <col min="17" max="17" width="11.28515625" style="89" customWidth="1"/>
    <col min="18" max="18" width="12.28515625" style="89" customWidth="1"/>
    <col min="19" max="19" width="13.5703125" style="89" customWidth="1"/>
    <col min="20" max="20" width="10.5703125" style="89" customWidth="1"/>
    <col min="21" max="21" width="13.7109375" style="89" customWidth="1"/>
    <col min="22" max="22" width="13.7109375" style="90" customWidth="1"/>
    <col min="23" max="23" width="11.5703125" style="89" customWidth="1"/>
    <col min="24" max="24" width="16.28515625" style="89" bestFit="1" customWidth="1"/>
    <col min="25" max="25" width="16.28515625" style="89" customWidth="1"/>
    <col min="26" max="26" width="8.140625" style="89" bestFit="1" customWidth="1"/>
    <col min="27" max="27" width="15" style="89" customWidth="1"/>
    <col min="28" max="28" width="18.140625" style="89" customWidth="1"/>
    <col min="29" max="29" width="17" style="90" customWidth="1"/>
    <col min="30" max="30" width="10.5703125" style="90" customWidth="1"/>
    <col min="31" max="31" width="13.7109375" style="90" customWidth="1"/>
    <col min="32" max="33" width="9.28515625" style="90" customWidth="1"/>
    <col min="34" max="34" width="11.42578125" style="74"/>
    <col min="35" max="35" width="13.85546875" style="74" customWidth="1"/>
    <col min="36" max="36" width="48.28515625" style="36" customWidth="1"/>
    <col min="37" max="38" width="13" style="36" customWidth="1"/>
    <col min="39" max="39" width="11.5703125" style="36" bestFit="1" customWidth="1"/>
    <col min="40" max="41" width="11.42578125" style="36"/>
    <col min="42" max="42" width="13.7109375" style="36" customWidth="1"/>
    <col min="43" max="43" width="13.85546875" style="36" customWidth="1"/>
    <col min="44" max="45" width="11.42578125" style="36"/>
    <col min="46" max="46" width="20.5703125" style="36" customWidth="1"/>
    <col min="47" max="47" width="11.42578125" style="36"/>
    <col min="48" max="48" width="19.28515625" style="36" customWidth="1"/>
    <col min="49" max="49" width="11.42578125" style="36"/>
    <col min="50" max="50" width="26.85546875" style="36" customWidth="1"/>
    <col min="51" max="51" width="33.85546875" style="36" customWidth="1"/>
    <col min="52" max="52" width="23.42578125" style="36" customWidth="1"/>
    <col min="53" max="53" width="16.85546875" style="36" customWidth="1"/>
    <col min="54" max="54" width="22.5703125" style="36" customWidth="1"/>
    <col min="55" max="55" width="19.42578125" style="36" customWidth="1"/>
    <col min="56" max="56" width="15" style="36" customWidth="1"/>
    <col min="57" max="57" width="14" style="36" customWidth="1"/>
    <col min="58" max="58" width="16.5703125" style="36" customWidth="1"/>
    <col min="59" max="16384" width="11.42578125" style="36"/>
  </cols>
  <sheetData>
    <row r="2" spans="1:58" s="101" customFormat="1" ht="23.25" customHeight="1" x14ac:dyDescent="0.25">
      <c r="J2" s="102"/>
      <c r="L2" s="102"/>
      <c r="M2" s="102"/>
      <c r="N2" s="102"/>
      <c r="O2" s="102"/>
      <c r="P2" s="102"/>
      <c r="Q2" s="162"/>
      <c r="R2" s="162"/>
      <c r="S2" s="162"/>
      <c r="T2" s="162"/>
      <c r="U2" s="162"/>
      <c r="V2" s="162"/>
      <c r="X2" s="162"/>
      <c r="Y2" s="162"/>
      <c r="Z2" s="162"/>
      <c r="AA2" s="162"/>
      <c r="AB2" s="162"/>
      <c r="AC2" s="162"/>
      <c r="AD2" s="162"/>
      <c r="AE2" s="162"/>
      <c r="AF2" s="162"/>
      <c r="AG2" s="162"/>
      <c r="AH2" s="164" t="s">
        <v>379</v>
      </c>
      <c r="AI2" s="162"/>
      <c r="AJ2" s="102"/>
    </row>
    <row r="3" spans="1:58" s="101" customFormat="1" ht="18" customHeight="1" x14ac:dyDescent="0.25">
      <c r="J3" s="103"/>
      <c r="L3" s="103"/>
      <c r="M3" s="103"/>
      <c r="N3" s="103"/>
      <c r="O3" s="103"/>
      <c r="P3" s="103"/>
      <c r="Q3" s="163"/>
      <c r="R3" s="163"/>
      <c r="S3" s="163"/>
      <c r="T3" s="163"/>
      <c r="U3" s="163"/>
      <c r="V3" s="163"/>
      <c r="X3" s="163"/>
      <c r="Y3" s="163"/>
      <c r="Z3" s="163"/>
      <c r="AA3" s="163"/>
      <c r="AB3" s="163"/>
      <c r="AC3" s="163"/>
      <c r="AD3" s="163"/>
      <c r="AE3" s="163"/>
      <c r="AF3" s="163"/>
      <c r="AG3" s="163"/>
      <c r="AH3" s="165" t="s">
        <v>472</v>
      </c>
      <c r="AI3" s="163"/>
      <c r="AJ3" s="102"/>
    </row>
    <row r="4" spans="1:58" s="101" customFormat="1" ht="12" customHeight="1" x14ac:dyDescent="0.25">
      <c r="J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2"/>
    </row>
    <row r="5" spans="1:58" s="101" customFormat="1" ht="3.75" customHeight="1" x14ac:dyDescent="0.25">
      <c r="J5" s="103"/>
      <c r="L5" s="103"/>
      <c r="M5" s="103"/>
      <c r="N5" s="103"/>
      <c r="O5" s="103"/>
      <c r="P5" s="103"/>
      <c r="Q5" s="147"/>
      <c r="R5" s="147"/>
      <c r="S5" s="147"/>
      <c r="T5" s="147"/>
      <c r="U5" s="147"/>
      <c r="V5" s="147"/>
      <c r="W5" s="103"/>
      <c r="X5" s="103"/>
      <c r="Y5" s="103"/>
      <c r="Z5" s="103"/>
      <c r="AA5" s="103"/>
      <c r="AB5" s="103"/>
      <c r="AC5" s="147"/>
      <c r="AD5" s="147"/>
      <c r="AE5" s="147"/>
      <c r="AF5" s="147"/>
      <c r="AG5" s="147"/>
      <c r="AH5" s="147"/>
      <c r="AI5" s="103"/>
      <c r="AJ5" s="102"/>
    </row>
    <row r="6" spans="1:58" s="101" customFormat="1" ht="12" customHeight="1" x14ac:dyDescent="0.25">
      <c r="J6" s="102"/>
      <c r="L6" s="102"/>
      <c r="M6" s="102"/>
      <c r="N6" s="102"/>
      <c r="O6" s="102"/>
      <c r="P6" s="102"/>
      <c r="Q6" s="147"/>
      <c r="R6" s="147"/>
      <c r="S6" s="147"/>
      <c r="T6" s="147"/>
      <c r="U6" s="147"/>
      <c r="V6" s="147"/>
      <c r="W6" s="102"/>
      <c r="X6" s="102"/>
      <c r="Y6" s="102"/>
      <c r="Z6" s="102"/>
      <c r="AA6" s="102"/>
      <c r="AB6" s="102"/>
      <c r="AC6" s="147"/>
      <c r="AD6" s="147"/>
      <c r="AE6" s="147"/>
      <c r="AF6" s="147"/>
      <c r="AG6" s="147"/>
      <c r="AH6" s="147"/>
      <c r="AI6" s="102"/>
      <c r="AJ6" s="102"/>
    </row>
    <row r="7" spans="1:58" s="101" customFormat="1" ht="15.75" customHeight="1" x14ac:dyDescent="0.25">
      <c r="J7" s="102"/>
      <c r="L7" s="102"/>
      <c r="M7" s="102"/>
      <c r="N7" s="102"/>
      <c r="O7" s="102"/>
      <c r="P7" s="102"/>
      <c r="Q7" s="147"/>
      <c r="R7" s="147"/>
      <c r="S7" s="147"/>
      <c r="T7" s="147"/>
      <c r="U7" s="147"/>
      <c r="V7" s="150"/>
      <c r="W7" s="102"/>
      <c r="X7" s="102"/>
      <c r="Y7" s="102"/>
      <c r="Z7" s="102"/>
      <c r="AA7" s="102"/>
      <c r="AB7" s="102"/>
      <c r="AC7" s="150"/>
      <c r="AD7" s="150"/>
      <c r="AE7" s="150"/>
      <c r="AF7" s="147"/>
      <c r="AG7" s="147"/>
      <c r="AH7" s="147"/>
      <c r="AI7" s="102"/>
      <c r="AJ7" s="102"/>
    </row>
    <row r="8" spans="1:58" s="101" customFormat="1" ht="15.75" customHeight="1" x14ac:dyDescent="0.25">
      <c r="B8" s="496">
        <v>2024</v>
      </c>
      <c r="C8" s="173">
        <v>4788391358</v>
      </c>
      <c r="E8" s="496" t="s">
        <v>508</v>
      </c>
      <c r="F8" s="173">
        <v>3912908522</v>
      </c>
      <c r="H8" s="173"/>
      <c r="J8" s="102"/>
      <c r="K8" s="234">
        <f>+K9/(1160000)</f>
        <v>0.39194036905172414</v>
      </c>
      <c r="L8" s="102"/>
      <c r="M8" s="234">
        <f>+M9/(1160000*1.05)</f>
        <v>0.39194036905172414</v>
      </c>
      <c r="N8" s="102"/>
      <c r="O8" s="102"/>
      <c r="P8" s="102"/>
      <c r="Q8" s="147"/>
      <c r="R8" s="147"/>
      <c r="S8" s="147"/>
      <c r="T8" s="147"/>
      <c r="U8" s="147"/>
      <c r="V8" s="150"/>
      <c r="W8" s="102"/>
      <c r="X8" s="102"/>
      <c r="Y8" s="102"/>
      <c r="Z8" s="102"/>
      <c r="AA8" s="102"/>
      <c r="AB8" s="102"/>
      <c r="AC8" s="150"/>
      <c r="AD8" s="150"/>
      <c r="AE8" s="150"/>
      <c r="AF8" s="147"/>
      <c r="AG8" s="147"/>
      <c r="AH8" s="147"/>
      <c r="AI8" s="102"/>
      <c r="AJ8" s="102"/>
    </row>
    <row r="9" spans="1:58" s="101" customFormat="1" ht="12" customHeight="1" x14ac:dyDescent="0.25">
      <c r="B9" s="496"/>
      <c r="C9" s="173">
        <v>1907917279</v>
      </c>
      <c r="E9" s="496"/>
      <c r="F9" s="173">
        <v>1619367089</v>
      </c>
      <c r="J9" s="173"/>
      <c r="K9" s="173">
        <f>+J12/9</f>
        <v>454650.82809999998</v>
      </c>
      <c r="L9" s="102"/>
      <c r="M9" s="173">
        <f>+L12/9</f>
        <v>477383.36950500001</v>
      </c>
      <c r="N9" s="102"/>
      <c r="O9" s="102"/>
      <c r="P9" s="102"/>
      <c r="Q9" s="147"/>
      <c r="R9" s="147"/>
      <c r="S9" s="168">
        <f>SUBTOTAL(9,S11:S125)</f>
        <v>6829528182.6976175</v>
      </c>
      <c r="T9" s="147"/>
      <c r="U9" s="147"/>
      <c r="V9" s="147"/>
      <c r="W9" s="102"/>
      <c r="X9" s="168">
        <v>7567007783.732625</v>
      </c>
      <c r="Y9" s="170"/>
      <c r="Z9" s="170"/>
      <c r="AA9" s="169"/>
      <c r="AB9" s="102"/>
      <c r="AC9" s="147"/>
      <c r="AD9" s="147"/>
      <c r="AE9" s="147"/>
      <c r="AF9" s="147"/>
      <c r="AG9" s="147"/>
      <c r="AH9" s="147"/>
      <c r="AI9" s="102"/>
      <c r="AJ9" s="102"/>
    </row>
    <row r="10" spans="1:58" ht="12" customHeight="1" x14ac:dyDescent="0.2">
      <c r="A10" s="35"/>
      <c r="B10" s="497"/>
      <c r="C10" s="194">
        <f>SUBTOTAL(9,C8:C9)</f>
        <v>6696308637</v>
      </c>
      <c r="D10" s="35"/>
      <c r="E10" s="497"/>
      <c r="F10" s="194">
        <f>SUBTOTAL(9,F8:F9)</f>
        <v>5532275611</v>
      </c>
      <c r="G10" s="35"/>
      <c r="H10" s="35"/>
      <c r="I10" s="35"/>
      <c r="J10" s="91"/>
      <c r="K10" s="35"/>
      <c r="L10" s="91"/>
      <c r="M10" s="91"/>
      <c r="N10" s="91"/>
      <c r="O10" s="91"/>
      <c r="P10" s="91"/>
      <c r="Q10" s="498" t="s">
        <v>50</v>
      </c>
      <c r="R10" s="499"/>
      <c r="S10" s="500"/>
      <c r="T10" s="498" t="s">
        <v>51</v>
      </c>
      <c r="U10" s="499"/>
      <c r="V10" s="500"/>
      <c r="W10" s="91"/>
      <c r="X10" s="37">
        <f>SUBTOTAL(9,X12:X800)</f>
        <v>8225342349.3642845</v>
      </c>
      <c r="Y10" s="37">
        <f>SUBTOTAL(9,Y12:Y800)</f>
        <v>5352567652.9908953</v>
      </c>
      <c r="Z10" s="131"/>
      <c r="AA10" s="131"/>
      <c r="AB10" s="91"/>
      <c r="AC10" s="92"/>
      <c r="AD10" s="92"/>
      <c r="AE10" s="92"/>
      <c r="AF10" s="92"/>
      <c r="AG10" s="92"/>
      <c r="AH10" s="148" t="s">
        <v>212</v>
      </c>
      <c r="AI10" s="149"/>
      <c r="AJ10" s="148"/>
      <c r="AK10" s="148"/>
      <c r="AL10" s="148"/>
      <c r="AM10" s="148"/>
      <c r="AN10" s="148"/>
      <c r="AO10" s="148"/>
      <c r="AP10" s="148"/>
      <c r="AQ10" s="148"/>
      <c r="AR10" s="148"/>
      <c r="AS10" s="148"/>
      <c r="AT10" s="148"/>
      <c r="AU10" s="148"/>
      <c r="AV10" s="148"/>
      <c r="AW10" s="148"/>
      <c r="AX10" s="148"/>
      <c r="AY10" s="148"/>
      <c r="AZ10" s="148"/>
      <c r="BA10" s="501" t="s">
        <v>213</v>
      </c>
      <c r="BB10" s="501"/>
      <c r="BC10" s="502"/>
      <c r="BD10" s="493" t="s">
        <v>214</v>
      </c>
      <c r="BE10" s="494"/>
      <c r="BF10" s="495"/>
    </row>
    <row r="11" spans="1:58" ht="67.5" x14ac:dyDescent="0.2">
      <c r="A11" s="38" t="s">
        <v>353</v>
      </c>
      <c r="B11" s="38" t="s">
        <v>52</v>
      </c>
      <c r="C11" s="38" t="s">
        <v>53</v>
      </c>
      <c r="D11" s="38" t="s">
        <v>54</v>
      </c>
      <c r="E11" s="38" t="s">
        <v>55</v>
      </c>
      <c r="F11" s="38" t="s">
        <v>476</v>
      </c>
      <c r="G11" s="38" t="s">
        <v>349</v>
      </c>
      <c r="H11" s="38" t="s">
        <v>350</v>
      </c>
      <c r="I11" s="38" t="s">
        <v>351</v>
      </c>
      <c r="J11" s="167" t="s">
        <v>649</v>
      </c>
      <c r="K11" s="167" t="s">
        <v>477</v>
      </c>
      <c r="L11" s="38" t="s">
        <v>352</v>
      </c>
      <c r="M11" s="38" t="s">
        <v>478</v>
      </c>
      <c r="N11" s="38" t="s">
        <v>484</v>
      </c>
      <c r="O11" s="236" t="s">
        <v>655</v>
      </c>
      <c r="P11" s="236" t="s">
        <v>656</v>
      </c>
      <c r="Q11" s="38" t="s">
        <v>56</v>
      </c>
      <c r="R11" s="38" t="s">
        <v>57</v>
      </c>
      <c r="S11" s="38" t="s">
        <v>58</v>
      </c>
      <c r="T11" s="38" t="s">
        <v>59</v>
      </c>
      <c r="U11" s="38" t="s">
        <v>60</v>
      </c>
      <c r="V11" s="38" t="s">
        <v>61</v>
      </c>
      <c r="W11" s="38" t="s">
        <v>358</v>
      </c>
      <c r="X11" s="38" t="s">
        <v>62</v>
      </c>
      <c r="Y11" s="167">
        <v>2023</v>
      </c>
      <c r="Z11" s="167" t="s">
        <v>477</v>
      </c>
      <c r="AA11" s="38" t="s">
        <v>398</v>
      </c>
      <c r="AB11" s="38" t="s">
        <v>357</v>
      </c>
      <c r="AC11" s="38" t="s">
        <v>354</v>
      </c>
      <c r="AD11" s="38" t="s">
        <v>223</v>
      </c>
      <c r="AE11" s="38" t="s">
        <v>355</v>
      </c>
      <c r="AF11" s="60" t="s">
        <v>360</v>
      </c>
      <c r="AG11" s="60" t="s">
        <v>363</v>
      </c>
      <c r="AH11" s="149" t="s">
        <v>215</v>
      </c>
      <c r="AI11" s="39" t="s">
        <v>216</v>
      </c>
      <c r="AJ11" s="39" t="s">
        <v>217</v>
      </c>
      <c r="AK11" s="39" t="s">
        <v>218</v>
      </c>
      <c r="AL11" s="39" t="s">
        <v>219</v>
      </c>
      <c r="AM11" s="149" t="s">
        <v>220</v>
      </c>
      <c r="AN11" s="149" t="s">
        <v>221</v>
      </c>
      <c r="AO11" s="149" t="s">
        <v>222</v>
      </c>
      <c r="AP11" s="40" t="s">
        <v>224</v>
      </c>
      <c r="AQ11" s="40" t="s">
        <v>225</v>
      </c>
      <c r="AR11" s="149" t="s">
        <v>226</v>
      </c>
      <c r="AS11" s="149" t="s">
        <v>227</v>
      </c>
      <c r="AT11" s="149" t="s">
        <v>228</v>
      </c>
      <c r="AU11" s="149" t="s">
        <v>229</v>
      </c>
      <c r="AV11" s="149" t="s">
        <v>230</v>
      </c>
      <c r="AW11" s="149" t="s">
        <v>231</v>
      </c>
      <c r="AX11" s="149" t="s">
        <v>232</v>
      </c>
      <c r="AY11" s="41" t="s">
        <v>233</v>
      </c>
      <c r="AZ11" s="39" t="s">
        <v>234</v>
      </c>
      <c r="BA11" s="42" t="s">
        <v>235</v>
      </c>
      <c r="BB11" s="42" t="s">
        <v>236</v>
      </c>
      <c r="BC11" s="42" t="s">
        <v>237</v>
      </c>
      <c r="BD11" s="43" t="s">
        <v>235</v>
      </c>
      <c r="BE11" s="43" t="s">
        <v>238</v>
      </c>
      <c r="BF11" s="43" t="s">
        <v>239</v>
      </c>
    </row>
    <row r="12" spans="1:58" ht="45.75" customHeight="1" x14ac:dyDescent="0.25">
      <c r="A12" s="44" t="s">
        <v>240</v>
      </c>
      <c r="B12" s="45" t="s">
        <v>63</v>
      </c>
      <c r="C12" s="45" t="s">
        <v>65</v>
      </c>
      <c r="D12" s="45" t="s">
        <v>65</v>
      </c>
      <c r="E12" s="45" t="s">
        <v>0</v>
      </c>
      <c r="F12" s="45" t="s">
        <v>479</v>
      </c>
      <c r="G12" s="45" t="s">
        <v>64</v>
      </c>
      <c r="H12" s="45" t="s">
        <v>473</v>
      </c>
      <c r="I12" s="45"/>
      <c r="J12" s="75">
        <v>4091857.4528999999</v>
      </c>
      <c r="K12" s="172">
        <f>IF(J12="",1,((L12/J12)-1))</f>
        <v>5.0000000000000044E-2</v>
      </c>
      <c r="L12" s="166">
        <f>IF(H12="OTRO",(J12*1.05),VLOOKUP((I12&amp;H12),'ESCALAS Salarios'!$D$2:$F$30,3,0))</f>
        <v>4296450.3255449999</v>
      </c>
      <c r="M12" s="45">
        <v>1</v>
      </c>
      <c r="N12" s="45" t="s">
        <v>486</v>
      </c>
      <c r="O12" s="59">
        <v>45292</v>
      </c>
      <c r="P12" s="58">
        <v>45657</v>
      </c>
      <c r="Q12" s="59">
        <f>VLOOKUP($A12,[6]Contratistas!$A$3:$R$117,10,0)</f>
        <v>45292</v>
      </c>
      <c r="R12" s="237">
        <f>VLOOKUP($A12,[6]Contratistas!$A$3:$R$117,11,0)</f>
        <v>45657</v>
      </c>
      <c r="S12" s="78">
        <f>IF($N12="MENSUAL",ROUND((((R12-Q12))/30),0)*$L12*$M12,((R12-Q12)/30)*$L12*$M12)</f>
        <v>51557403.906539999</v>
      </c>
      <c r="T12" s="79"/>
      <c r="U12" s="59"/>
      <c r="V12" s="78">
        <f>IF($N12="MENSUAL",ROUND((((U12-T12))/30),0)*$L12,((U12-T12)/30)*$L12)</f>
        <v>0</v>
      </c>
      <c r="W12" s="76">
        <f>ROUND((((R12-Q12)+(U12-T12))/30),0)</f>
        <v>12</v>
      </c>
      <c r="X12" s="93">
        <f>+S12+V12</f>
        <v>51557403.906539999</v>
      </c>
      <c r="Y12" s="93">
        <v>49102289.434799999</v>
      </c>
      <c r="Z12" s="171">
        <f>IF(Y12="",1,((X12/Y12)-1))</f>
        <v>5.0000000000000044E-2</v>
      </c>
      <c r="AA12" s="132"/>
      <c r="AB12" s="77" t="s">
        <v>19</v>
      </c>
      <c r="AC12" s="80">
        <f>+X12</f>
        <v>51557403.906539999</v>
      </c>
      <c r="AD12" s="81" t="s">
        <v>243</v>
      </c>
      <c r="AE12" s="82" t="s">
        <v>1</v>
      </c>
      <c r="AF12" s="83" t="s">
        <v>244</v>
      </c>
      <c r="AG12" s="83"/>
      <c r="AH12" s="84" t="str">
        <f>"CON-"&amp;A12</f>
        <v>CON-001</v>
      </c>
      <c r="AI12" s="81">
        <v>80161500</v>
      </c>
      <c r="AJ12" s="46" t="s">
        <v>145</v>
      </c>
      <c r="AK12" s="47">
        <f>+Q12</f>
        <v>45292</v>
      </c>
      <c r="AL12" s="47">
        <f>+AK12</f>
        <v>45292</v>
      </c>
      <c r="AM12" s="233">
        <f t="shared" ref="AM12" si="0">+W12</f>
        <v>12</v>
      </c>
      <c r="AN12" s="48" t="s">
        <v>241</v>
      </c>
      <c r="AO12" s="49" t="s">
        <v>242</v>
      </c>
      <c r="AP12" s="50">
        <f t="shared" ref="AP12" si="1">+X12</f>
        <v>51557403.906539999</v>
      </c>
      <c r="AQ12" s="50">
        <f>+AP12</f>
        <v>51557403.906539999</v>
      </c>
      <c r="AR12" s="48" t="s">
        <v>244</v>
      </c>
      <c r="AS12" s="48" t="s">
        <v>245</v>
      </c>
      <c r="AT12" s="51" t="s">
        <v>246</v>
      </c>
      <c r="AU12" s="52" t="s">
        <v>247</v>
      </c>
      <c r="AV12" s="53" t="str">
        <f>D12</f>
        <v>RECTORÍA</v>
      </c>
      <c r="AW12" s="54" t="s">
        <v>248</v>
      </c>
      <c r="AX12" s="55" t="s">
        <v>249</v>
      </c>
      <c r="AY12" s="48" t="s">
        <v>244</v>
      </c>
      <c r="AZ12" s="48" t="s">
        <v>244</v>
      </c>
      <c r="BA12" s="56" t="s">
        <v>250</v>
      </c>
      <c r="BB12" s="57" t="s">
        <v>251</v>
      </c>
      <c r="BC12" s="57" t="s">
        <v>252</v>
      </c>
      <c r="BD12" s="57" t="s">
        <v>250</v>
      </c>
      <c r="BE12" s="57"/>
      <c r="BF12" s="57"/>
    </row>
    <row r="13" spans="1:58" ht="54.75" customHeight="1" x14ac:dyDescent="0.2">
      <c r="A13" s="44" t="s">
        <v>253</v>
      </c>
      <c r="B13" s="45" t="s">
        <v>63</v>
      </c>
      <c r="C13" s="45" t="s">
        <v>65</v>
      </c>
      <c r="D13" s="45" t="s">
        <v>65</v>
      </c>
      <c r="E13" s="45" t="s">
        <v>66</v>
      </c>
      <c r="F13" s="45" t="s">
        <v>383</v>
      </c>
      <c r="G13" s="45" t="s">
        <v>374</v>
      </c>
      <c r="H13" s="45" t="s">
        <v>67</v>
      </c>
      <c r="I13" s="45">
        <v>6</v>
      </c>
      <c r="J13" s="75">
        <v>6000000</v>
      </c>
      <c r="K13" s="172">
        <f t="shared" ref="K13:K76" si="2">IF(J13="",1,((L13/J13)-1))</f>
        <v>3.3333333333333437E-2</v>
      </c>
      <c r="L13" s="166">
        <f>IF(H13="OTRO",(J13*1.05),VLOOKUP((I13&amp;H13),'ESCALAS Salarios'!$D$2:$F$30,3,0))</f>
        <v>6200000</v>
      </c>
      <c r="M13" s="45">
        <v>1</v>
      </c>
      <c r="N13" s="45" t="s">
        <v>486</v>
      </c>
      <c r="O13" s="59">
        <v>45327</v>
      </c>
      <c r="P13" s="58">
        <v>45646</v>
      </c>
      <c r="Q13" s="59">
        <f>VLOOKUP($A13,[6]Contratistas!$A$3:$R$117,10,0)</f>
        <v>45327</v>
      </c>
      <c r="R13" s="237">
        <f>VLOOKUP($A13,[6]Contratistas!$A$3:$R$117,11,0)</f>
        <v>45646</v>
      </c>
      <c r="S13" s="78">
        <f t="shared" ref="S13:S76" si="3">IF($N13="MENSUAL",ROUND((((R13-Q13))/30),0)*$L13*$M13,((R13-Q13)/30)*$L13*$M13)</f>
        <v>68200000</v>
      </c>
      <c r="T13" s="79"/>
      <c r="U13" s="59"/>
      <c r="V13" s="78">
        <f t="shared" ref="V13:V76" si="4">IF($N13="MENSUAL",ROUND((((U13-T13))/30),0)*$L13,((U13-T13)/30)*$L13)</f>
        <v>0</v>
      </c>
      <c r="W13" s="76">
        <f t="shared" ref="W13:W76" si="5">ROUND((((R13-Q13)+(U13-T13))/30),0)</f>
        <v>11</v>
      </c>
      <c r="X13" s="93">
        <f t="shared" ref="X13:X76" si="6">+S13+V13</f>
        <v>68200000</v>
      </c>
      <c r="Y13" s="93">
        <v>66000000</v>
      </c>
      <c r="Z13" s="171">
        <f t="shared" ref="Z13:Z76" si="7">IF(Y13="",1,((X13/Y13)-1))</f>
        <v>3.3333333333333437E-2</v>
      </c>
      <c r="AA13" s="133">
        <v>19457733</v>
      </c>
      <c r="AB13" s="134" t="s">
        <v>399</v>
      </c>
      <c r="AC13" s="80">
        <f t="shared" ref="AC13:AC76" si="8">+X13</f>
        <v>68200000</v>
      </c>
      <c r="AD13" s="81" t="s">
        <v>243</v>
      </c>
      <c r="AE13" s="82" t="s">
        <v>1</v>
      </c>
      <c r="AF13" s="83" t="s">
        <v>361</v>
      </c>
      <c r="AG13" s="83"/>
      <c r="AH13" s="84" t="str">
        <f>"CON-"&amp;A13</f>
        <v>CON-002</v>
      </c>
      <c r="AI13" s="81">
        <v>80111600</v>
      </c>
      <c r="AJ13" s="46" t="s">
        <v>359</v>
      </c>
      <c r="AK13" s="47">
        <f t="shared" ref="AK13:AK76" si="9">+Q13</f>
        <v>45327</v>
      </c>
      <c r="AL13" s="47">
        <f t="shared" ref="AL13:AL76" si="10">+AK13</f>
        <v>45327</v>
      </c>
      <c r="AM13" s="233">
        <f>+W13</f>
        <v>11</v>
      </c>
      <c r="AN13" s="48" t="s">
        <v>241</v>
      </c>
      <c r="AO13" s="49" t="s">
        <v>242</v>
      </c>
      <c r="AP13" s="50">
        <f>+X13</f>
        <v>68200000</v>
      </c>
      <c r="AQ13" s="50">
        <f t="shared" ref="AQ13:AQ76" si="11">+AP13</f>
        <v>68200000</v>
      </c>
      <c r="AR13" s="48" t="s">
        <v>244</v>
      </c>
      <c r="AS13" s="48" t="s">
        <v>245</v>
      </c>
      <c r="AT13" s="51" t="s">
        <v>246</v>
      </c>
      <c r="AU13" s="52" t="s">
        <v>247</v>
      </c>
      <c r="AV13" s="53" t="str">
        <f>D13</f>
        <v>RECTORÍA</v>
      </c>
      <c r="AW13" s="54" t="s">
        <v>248</v>
      </c>
      <c r="AX13" s="55" t="s">
        <v>249</v>
      </c>
      <c r="AY13" s="48" t="s">
        <v>244</v>
      </c>
      <c r="AZ13" s="48" t="s">
        <v>244</v>
      </c>
      <c r="BA13" s="56" t="s">
        <v>250</v>
      </c>
      <c r="BB13" s="57" t="s">
        <v>251</v>
      </c>
      <c r="BC13" s="57" t="s">
        <v>252</v>
      </c>
      <c r="BD13" s="57" t="s">
        <v>250</v>
      </c>
      <c r="BE13" s="57"/>
      <c r="BF13" s="57"/>
    </row>
    <row r="14" spans="1:58" ht="54.75" customHeight="1" x14ac:dyDescent="0.2">
      <c r="A14" s="44" t="s">
        <v>254</v>
      </c>
      <c r="B14" s="193" t="s">
        <v>63</v>
      </c>
      <c r="C14" s="193" t="s">
        <v>65</v>
      </c>
      <c r="D14" s="193" t="s">
        <v>65</v>
      </c>
      <c r="E14" s="45" t="s">
        <v>66</v>
      </c>
      <c r="F14" s="45" t="s">
        <v>72</v>
      </c>
      <c r="G14" s="45" t="s">
        <v>374</v>
      </c>
      <c r="H14" s="45" t="s">
        <v>471</v>
      </c>
      <c r="I14" s="45">
        <v>3</v>
      </c>
      <c r="J14" s="75">
        <v>8000000</v>
      </c>
      <c r="K14" s="172">
        <f t="shared" si="2"/>
        <v>0</v>
      </c>
      <c r="L14" s="166">
        <f>IF(H14="OTRO",(J14*1.05),VLOOKUP((I14&amp;H14),'ESCALAS Salarios'!$D$2:$F$30,3,0))</f>
        <v>8000000</v>
      </c>
      <c r="M14" s="45">
        <v>1</v>
      </c>
      <c r="N14" s="45" t="s">
        <v>486</v>
      </c>
      <c r="O14" s="59">
        <v>45327</v>
      </c>
      <c r="P14" s="174">
        <v>45626</v>
      </c>
      <c r="Q14" s="59">
        <f>VLOOKUP($A14,[6]Contratistas!$A$3:$R$117,10,0)</f>
        <v>45327</v>
      </c>
      <c r="R14" s="238">
        <f>VLOOKUP($A14,[6]Contratistas!$A$3:$R$117,11,0)</f>
        <v>45626</v>
      </c>
      <c r="S14" s="78">
        <f t="shared" si="3"/>
        <v>80000000</v>
      </c>
      <c r="T14" s="79"/>
      <c r="U14" s="59"/>
      <c r="V14" s="78">
        <f t="shared" si="4"/>
        <v>0</v>
      </c>
      <c r="W14" s="76">
        <f t="shared" si="5"/>
        <v>10</v>
      </c>
      <c r="X14" s="93">
        <f t="shared" si="6"/>
        <v>80000000</v>
      </c>
      <c r="Y14" s="93"/>
      <c r="Z14" s="171">
        <f t="shared" si="7"/>
        <v>1</v>
      </c>
      <c r="AA14" s="133"/>
      <c r="AB14" s="134" t="s">
        <v>487</v>
      </c>
      <c r="AC14" s="80">
        <f t="shared" si="8"/>
        <v>80000000</v>
      </c>
      <c r="AD14" s="81" t="s">
        <v>243</v>
      </c>
      <c r="AE14" s="82" t="s">
        <v>1</v>
      </c>
      <c r="AF14" s="83" t="s">
        <v>361</v>
      </c>
      <c r="AG14" s="83"/>
      <c r="AH14" s="84" t="str">
        <f t="shared" ref="AH14:AH77" si="12">"CON-"&amp;A14</f>
        <v>CON-003</v>
      </c>
      <c r="AI14" s="81">
        <v>80111600</v>
      </c>
      <c r="AJ14" s="46" t="s">
        <v>609</v>
      </c>
      <c r="AK14" s="47">
        <f t="shared" si="9"/>
        <v>45327</v>
      </c>
      <c r="AL14" s="47">
        <f t="shared" si="10"/>
        <v>45327</v>
      </c>
      <c r="AM14" s="233">
        <f t="shared" ref="AM14:AM77" si="13">+W14</f>
        <v>10</v>
      </c>
      <c r="AN14" s="48" t="s">
        <v>241</v>
      </c>
      <c r="AO14" s="49" t="s">
        <v>242</v>
      </c>
      <c r="AP14" s="50">
        <f t="shared" ref="AP14:AP77" si="14">+X14</f>
        <v>80000000</v>
      </c>
      <c r="AQ14" s="50">
        <f t="shared" si="11"/>
        <v>80000000</v>
      </c>
      <c r="AR14" s="48" t="s">
        <v>244</v>
      </c>
      <c r="AS14" s="48" t="s">
        <v>245</v>
      </c>
      <c r="AT14" s="51" t="s">
        <v>246</v>
      </c>
      <c r="AU14" s="52" t="s">
        <v>247</v>
      </c>
      <c r="AV14" s="53" t="str">
        <f t="shared" ref="AV14:AV34" si="15">D14</f>
        <v>RECTORÍA</v>
      </c>
      <c r="AW14" s="54" t="s">
        <v>248</v>
      </c>
      <c r="AX14" s="55" t="s">
        <v>249</v>
      </c>
      <c r="AY14" s="48" t="s">
        <v>244</v>
      </c>
      <c r="AZ14" s="48" t="s">
        <v>244</v>
      </c>
      <c r="BA14" s="56" t="s">
        <v>250</v>
      </c>
      <c r="BB14" s="57" t="s">
        <v>251</v>
      </c>
      <c r="BC14" s="57" t="s">
        <v>252</v>
      </c>
      <c r="BD14" s="57" t="s">
        <v>250</v>
      </c>
      <c r="BE14" s="57"/>
      <c r="BF14" s="57"/>
    </row>
    <row r="15" spans="1:58" ht="54.75" customHeight="1" x14ac:dyDescent="0.2">
      <c r="A15" s="44" t="s">
        <v>627</v>
      </c>
      <c r="B15" s="193" t="s">
        <v>63</v>
      </c>
      <c r="C15" s="193" t="s">
        <v>65</v>
      </c>
      <c r="D15" s="193" t="s">
        <v>65</v>
      </c>
      <c r="E15" s="45" t="s">
        <v>66</v>
      </c>
      <c r="F15" s="45" t="s">
        <v>72</v>
      </c>
      <c r="G15" s="45" t="s">
        <v>374</v>
      </c>
      <c r="H15" s="45" t="s">
        <v>471</v>
      </c>
      <c r="I15" s="45">
        <v>2</v>
      </c>
      <c r="J15" s="75">
        <v>7000000</v>
      </c>
      <c r="K15" s="172">
        <f t="shared" si="2"/>
        <v>5.7142857142857162E-2</v>
      </c>
      <c r="L15" s="166">
        <f>IF(H15="OTRO",(J15*1.05),VLOOKUP((I15&amp;H15),'ESCALAS Salarios'!$D$2:$F$30,3,0))</f>
        <v>7400000</v>
      </c>
      <c r="M15" s="45">
        <v>1</v>
      </c>
      <c r="N15" s="45" t="s">
        <v>486</v>
      </c>
      <c r="O15" s="59">
        <v>45327</v>
      </c>
      <c r="P15" s="174">
        <v>45626</v>
      </c>
      <c r="Q15" s="59">
        <f>VLOOKUP($A15,[6]Contratistas!$A$3:$R$117,10,0)</f>
        <v>45327</v>
      </c>
      <c r="R15" s="238">
        <f>VLOOKUP($A15,[6]Contratistas!$A$3:$R$117,11,0)</f>
        <v>45626</v>
      </c>
      <c r="S15" s="78">
        <f t="shared" si="3"/>
        <v>74000000</v>
      </c>
      <c r="T15" s="79"/>
      <c r="U15" s="59"/>
      <c r="V15" s="78">
        <f t="shared" si="4"/>
        <v>0</v>
      </c>
      <c r="W15" s="76">
        <f t="shared" si="5"/>
        <v>10</v>
      </c>
      <c r="X15" s="93">
        <f t="shared" si="6"/>
        <v>74000000</v>
      </c>
      <c r="Y15" s="93"/>
      <c r="Z15" s="171">
        <f t="shared" si="7"/>
        <v>1</v>
      </c>
      <c r="AA15" s="133"/>
      <c r="AB15" s="134" t="s">
        <v>511</v>
      </c>
      <c r="AC15" s="80">
        <f t="shared" si="8"/>
        <v>74000000</v>
      </c>
      <c r="AD15" s="81" t="s">
        <v>243</v>
      </c>
      <c r="AE15" s="82" t="s">
        <v>1</v>
      </c>
      <c r="AF15" s="83" t="s">
        <v>361</v>
      </c>
      <c r="AG15" s="83"/>
      <c r="AH15" s="84" t="str">
        <f t="shared" si="12"/>
        <v>CON-004</v>
      </c>
      <c r="AI15" s="81">
        <v>80111600</v>
      </c>
      <c r="AJ15" s="46" t="s">
        <v>610</v>
      </c>
      <c r="AK15" s="47">
        <f t="shared" si="9"/>
        <v>45327</v>
      </c>
      <c r="AL15" s="47">
        <f t="shared" si="10"/>
        <v>45327</v>
      </c>
      <c r="AM15" s="233">
        <f t="shared" si="13"/>
        <v>10</v>
      </c>
      <c r="AN15" s="48" t="s">
        <v>241</v>
      </c>
      <c r="AO15" s="49" t="s">
        <v>242</v>
      </c>
      <c r="AP15" s="50">
        <f t="shared" si="14"/>
        <v>74000000</v>
      </c>
      <c r="AQ15" s="50">
        <f t="shared" si="11"/>
        <v>74000000</v>
      </c>
      <c r="AR15" s="48" t="s">
        <v>244</v>
      </c>
      <c r="AS15" s="48" t="s">
        <v>245</v>
      </c>
      <c r="AT15" s="51" t="s">
        <v>246</v>
      </c>
      <c r="AU15" s="52" t="s">
        <v>247</v>
      </c>
      <c r="AV15" s="53" t="str">
        <f t="shared" si="15"/>
        <v>RECTORÍA</v>
      </c>
      <c r="AW15" s="54" t="s">
        <v>248</v>
      </c>
      <c r="AX15" s="55" t="s">
        <v>249</v>
      </c>
      <c r="AY15" s="48" t="s">
        <v>244</v>
      </c>
      <c r="AZ15" s="48" t="s">
        <v>244</v>
      </c>
      <c r="BA15" s="56" t="s">
        <v>250</v>
      </c>
      <c r="BB15" s="57" t="s">
        <v>251</v>
      </c>
      <c r="BC15" s="57" t="s">
        <v>252</v>
      </c>
      <c r="BD15" s="57" t="s">
        <v>250</v>
      </c>
      <c r="BE15" s="57"/>
      <c r="BF15" s="57"/>
    </row>
    <row r="16" spans="1:58" ht="54.75" customHeight="1" x14ac:dyDescent="0.2">
      <c r="A16" s="44" t="s">
        <v>255</v>
      </c>
      <c r="B16" s="193" t="s">
        <v>63</v>
      </c>
      <c r="C16" s="193" t="s">
        <v>65</v>
      </c>
      <c r="D16" s="193" t="s">
        <v>65</v>
      </c>
      <c r="E16" s="45" t="s">
        <v>66</v>
      </c>
      <c r="F16" s="45" t="s">
        <v>72</v>
      </c>
      <c r="G16" s="45" t="s">
        <v>374</v>
      </c>
      <c r="H16" s="45" t="s">
        <v>471</v>
      </c>
      <c r="I16" s="45">
        <v>3</v>
      </c>
      <c r="J16" s="75">
        <v>8000000</v>
      </c>
      <c r="K16" s="172">
        <f t="shared" si="2"/>
        <v>0</v>
      </c>
      <c r="L16" s="166">
        <f>IF(H16="OTRO",(J16*1.05),VLOOKUP((I16&amp;H16),'ESCALAS Salarios'!$D$2:$F$30,3,0))</f>
        <v>8000000</v>
      </c>
      <c r="M16" s="45">
        <v>1</v>
      </c>
      <c r="N16" s="45" t="s">
        <v>486</v>
      </c>
      <c r="O16" s="59">
        <v>45327</v>
      </c>
      <c r="P16" s="174">
        <v>45626</v>
      </c>
      <c r="Q16" s="59">
        <f>VLOOKUP($A16,[6]Contratistas!$A$3:$R$117,10,0)</f>
        <v>45327</v>
      </c>
      <c r="R16" s="238">
        <f>VLOOKUP($A16,[6]Contratistas!$A$3:$R$117,11,0)</f>
        <v>45626</v>
      </c>
      <c r="S16" s="78">
        <f t="shared" si="3"/>
        <v>80000000</v>
      </c>
      <c r="T16" s="79"/>
      <c r="U16" s="59"/>
      <c r="V16" s="78">
        <f t="shared" si="4"/>
        <v>0</v>
      </c>
      <c r="W16" s="76">
        <f t="shared" si="5"/>
        <v>10</v>
      </c>
      <c r="X16" s="93">
        <f t="shared" si="6"/>
        <v>80000000</v>
      </c>
      <c r="Y16" s="93"/>
      <c r="Z16" s="171">
        <f t="shared" si="7"/>
        <v>1</v>
      </c>
      <c r="AA16" s="133"/>
      <c r="AB16" s="134" t="s">
        <v>623</v>
      </c>
      <c r="AC16" s="80">
        <f t="shared" si="8"/>
        <v>80000000</v>
      </c>
      <c r="AD16" s="81" t="s">
        <v>243</v>
      </c>
      <c r="AE16" s="82" t="s">
        <v>1</v>
      </c>
      <c r="AF16" s="83" t="s">
        <v>361</v>
      </c>
      <c r="AG16" s="83"/>
      <c r="AH16" s="84" t="str">
        <f t="shared" si="12"/>
        <v>CON-005</v>
      </c>
      <c r="AI16" s="81">
        <v>80111600</v>
      </c>
      <c r="AJ16" s="46" t="s">
        <v>643</v>
      </c>
      <c r="AK16" s="47">
        <f t="shared" si="9"/>
        <v>45327</v>
      </c>
      <c r="AL16" s="47">
        <f t="shared" si="10"/>
        <v>45327</v>
      </c>
      <c r="AM16" s="233">
        <f t="shared" si="13"/>
        <v>10</v>
      </c>
      <c r="AN16" s="48" t="s">
        <v>241</v>
      </c>
      <c r="AO16" s="49" t="s">
        <v>242</v>
      </c>
      <c r="AP16" s="50">
        <f t="shared" si="14"/>
        <v>80000000</v>
      </c>
      <c r="AQ16" s="50">
        <f t="shared" si="11"/>
        <v>80000000</v>
      </c>
      <c r="AR16" s="48" t="s">
        <v>244</v>
      </c>
      <c r="AS16" s="48" t="s">
        <v>245</v>
      </c>
      <c r="AT16" s="51" t="s">
        <v>246</v>
      </c>
      <c r="AU16" s="52" t="s">
        <v>247</v>
      </c>
      <c r="AV16" s="53" t="str">
        <f t="shared" si="15"/>
        <v>RECTORÍA</v>
      </c>
      <c r="AW16" s="54" t="s">
        <v>248</v>
      </c>
      <c r="AX16" s="55" t="s">
        <v>249</v>
      </c>
      <c r="AY16" s="48" t="s">
        <v>244</v>
      </c>
      <c r="AZ16" s="48" t="s">
        <v>244</v>
      </c>
      <c r="BA16" s="56" t="s">
        <v>250</v>
      </c>
      <c r="BB16" s="57" t="s">
        <v>251</v>
      </c>
      <c r="BC16" s="57" t="s">
        <v>252</v>
      </c>
      <c r="BD16" s="57" t="s">
        <v>250</v>
      </c>
      <c r="BE16" s="57"/>
      <c r="BF16" s="57"/>
    </row>
    <row r="17" spans="1:58" ht="58.5" customHeight="1" x14ac:dyDescent="0.2">
      <c r="A17" s="44" t="s">
        <v>256</v>
      </c>
      <c r="B17" s="45" t="s">
        <v>63</v>
      </c>
      <c r="C17" s="45" t="s">
        <v>65</v>
      </c>
      <c r="D17" s="45" t="s">
        <v>68</v>
      </c>
      <c r="E17" s="45"/>
      <c r="F17" s="45" t="s">
        <v>383</v>
      </c>
      <c r="G17" s="45" t="s">
        <v>374</v>
      </c>
      <c r="H17" s="45" t="s">
        <v>69</v>
      </c>
      <c r="I17" s="45">
        <v>6</v>
      </c>
      <c r="J17" s="75">
        <v>4200000</v>
      </c>
      <c r="K17" s="172">
        <f t="shared" si="2"/>
        <v>4.7619047619047672E-2</v>
      </c>
      <c r="L17" s="166">
        <f>IF(H17="OTRO",(J17*1.05),VLOOKUP((I17&amp;H17),'ESCALAS Salarios'!$D$2:$F$30,3,0))</f>
        <v>4400000</v>
      </c>
      <c r="M17" s="45">
        <v>1</v>
      </c>
      <c r="N17" s="45" t="s">
        <v>485</v>
      </c>
      <c r="O17" s="59">
        <v>45334</v>
      </c>
      <c r="P17" s="58">
        <v>45639</v>
      </c>
      <c r="Q17" s="59">
        <f>VLOOKUP($A17,[6]Contratistas!$A$3:$R$117,10,0)</f>
        <v>45334</v>
      </c>
      <c r="R17" s="237">
        <f>VLOOKUP($A17,[6]Contratistas!$A$3:$R$117,11,0)</f>
        <v>45639</v>
      </c>
      <c r="S17" s="78">
        <f t="shared" si="3"/>
        <v>44733333.333333328</v>
      </c>
      <c r="T17" s="79"/>
      <c r="U17" s="59"/>
      <c r="V17" s="78">
        <f t="shared" si="4"/>
        <v>0</v>
      </c>
      <c r="W17" s="76">
        <f t="shared" si="5"/>
        <v>10</v>
      </c>
      <c r="X17" s="93">
        <f t="shared" si="6"/>
        <v>44733333.333333328</v>
      </c>
      <c r="Y17" s="93">
        <v>42000000</v>
      </c>
      <c r="Z17" s="171">
        <f t="shared" si="7"/>
        <v>6.507936507936507E-2</v>
      </c>
      <c r="AA17" s="133">
        <v>1023916277</v>
      </c>
      <c r="AB17" s="134" t="s">
        <v>400</v>
      </c>
      <c r="AC17" s="80">
        <f t="shared" si="8"/>
        <v>44733333.333333328</v>
      </c>
      <c r="AD17" s="81" t="s">
        <v>243</v>
      </c>
      <c r="AE17" s="82" t="s">
        <v>1</v>
      </c>
      <c r="AF17" s="83" t="s">
        <v>361</v>
      </c>
      <c r="AG17" s="83"/>
      <c r="AH17" s="84" t="str">
        <f t="shared" si="12"/>
        <v>CON-006</v>
      </c>
      <c r="AI17" s="81">
        <v>80111600</v>
      </c>
      <c r="AJ17" s="46" t="s">
        <v>146</v>
      </c>
      <c r="AK17" s="47">
        <f t="shared" si="9"/>
        <v>45334</v>
      </c>
      <c r="AL17" s="47">
        <f t="shared" si="10"/>
        <v>45334</v>
      </c>
      <c r="AM17" s="233">
        <f t="shared" si="13"/>
        <v>10</v>
      </c>
      <c r="AN17" s="48" t="s">
        <v>241</v>
      </c>
      <c r="AO17" s="49" t="s">
        <v>242</v>
      </c>
      <c r="AP17" s="50">
        <f t="shared" si="14"/>
        <v>44733333.333333328</v>
      </c>
      <c r="AQ17" s="50">
        <f t="shared" si="11"/>
        <v>44733333.333333328</v>
      </c>
      <c r="AR17" s="48" t="s">
        <v>244</v>
      </c>
      <c r="AS17" s="48" t="s">
        <v>245</v>
      </c>
      <c r="AT17" s="51" t="s">
        <v>246</v>
      </c>
      <c r="AU17" s="52" t="s">
        <v>247</v>
      </c>
      <c r="AV17" s="53" t="str">
        <f t="shared" si="15"/>
        <v>OFICINA DE COMUNICACIONES</v>
      </c>
      <c r="AW17" s="54" t="s">
        <v>248</v>
      </c>
      <c r="AX17" s="55" t="s">
        <v>249</v>
      </c>
      <c r="AY17" s="48" t="s">
        <v>244</v>
      </c>
      <c r="AZ17" s="48" t="s">
        <v>244</v>
      </c>
      <c r="BA17" s="56" t="s">
        <v>250</v>
      </c>
      <c r="BB17" s="57" t="s">
        <v>251</v>
      </c>
      <c r="BC17" s="57" t="s">
        <v>252</v>
      </c>
      <c r="BD17" s="57" t="s">
        <v>250</v>
      </c>
      <c r="BE17" s="57"/>
      <c r="BF17" s="57"/>
    </row>
    <row r="18" spans="1:58" ht="59.25" customHeight="1" x14ac:dyDescent="0.2">
      <c r="A18" s="44" t="s">
        <v>257</v>
      </c>
      <c r="B18" s="45" t="s">
        <v>63</v>
      </c>
      <c r="C18" s="45" t="s">
        <v>65</v>
      </c>
      <c r="D18" s="45" t="s">
        <v>3</v>
      </c>
      <c r="E18" s="45"/>
      <c r="F18" s="45" t="s">
        <v>481</v>
      </c>
      <c r="G18" s="45" t="s">
        <v>374</v>
      </c>
      <c r="H18" s="45" t="s">
        <v>71</v>
      </c>
      <c r="I18" s="45">
        <v>5</v>
      </c>
      <c r="J18" s="75">
        <v>2000000</v>
      </c>
      <c r="K18" s="172">
        <f t="shared" si="2"/>
        <v>5.0000000000000044E-2</v>
      </c>
      <c r="L18" s="166">
        <f>IF(H18="OTRO",(J18*1.05),VLOOKUP((I18&amp;H18),'ESCALAS Salarios'!$D$2:$F$30,3,0))</f>
        <v>2100000</v>
      </c>
      <c r="M18" s="45">
        <v>1</v>
      </c>
      <c r="N18" s="45" t="s">
        <v>485</v>
      </c>
      <c r="O18" s="59">
        <v>45323</v>
      </c>
      <c r="P18" s="58">
        <v>45646</v>
      </c>
      <c r="Q18" s="59">
        <f>VLOOKUP($A18,[6]Contratistas!$A$3:$R$117,10,0)</f>
        <v>45323</v>
      </c>
      <c r="R18" s="237">
        <f>VLOOKUP($A18,[6]Contratistas!$A$3:$R$117,11,0)</f>
        <v>45646</v>
      </c>
      <c r="S18" s="78">
        <f t="shared" si="3"/>
        <v>22610000</v>
      </c>
      <c r="T18" s="79"/>
      <c r="U18" s="59"/>
      <c r="V18" s="78">
        <f t="shared" si="4"/>
        <v>0</v>
      </c>
      <c r="W18" s="76">
        <f t="shared" si="5"/>
        <v>11</v>
      </c>
      <c r="X18" s="93">
        <f t="shared" si="6"/>
        <v>22610000</v>
      </c>
      <c r="Y18" s="93">
        <v>22000000</v>
      </c>
      <c r="Z18" s="171">
        <f t="shared" si="7"/>
        <v>2.7727272727272823E-2</v>
      </c>
      <c r="AA18" s="133">
        <v>80177915</v>
      </c>
      <c r="AB18" s="134" t="s">
        <v>4</v>
      </c>
      <c r="AC18" s="80">
        <f t="shared" si="8"/>
        <v>22610000</v>
      </c>
      <c r="AD18" s="81" t="s">
        <v>243</v>
      </c>
      <c r="AE18" s="82" t="s">
        <v>1</v>
      </c>
      <c r="AF18" s="83" t="s">
        <v>361</v>
      </c>
      <c r="AG18" s="83"/>
      <c r="AH18" s="84" t="str">
        <f t="shared" si="12"/>
        <v>CON-007</v>
      </c>
      <c r="AI18" s="81">
        <v>80111600</v>
      </c>
      <c r="AJ18" s="46" t="s">
        <v>147</v>
      </c>
      <c r="AK18" s="47">
        <f t="shared" si="9"/>
        <v>45323</v>
      </c>
      <c r="AL18" s="47">
        <f t="shared" si="10"/>
        <v>45323</v>
      </c>
      <c r="AM18" s="233">
        <f t="shared" si="13"/>
        <v>11</v>
      </c>
      <c r="AN18" s="48" t="s">
        <v>241</v>
      </c>
      <c r="AO18" s="49" t="s">
        <v>242</v>
      </c>
      <c r="AP18" s="50">
        <f t="shared" si="14"/>
        <v>22610000</v>
      </c>
      <c r="AQ18" s="50">
        <f t="shared" si="11"/>
        <v>22610000</v>
      </c>
      <c r="AR18" s="48" t="s">
        <v>244</v>
      </c>
      <c r="AS18" s="48" t="s">
        <v>245</v>
      </c>
      <c r="AT18" s="51" t="s">
        <v>246</v>
      </c>
      <c r="AU18" s="52" t="s">
        <v>247</v>
      </c>
      <c r="AV18" s="53" t="str">
        <f t="shared" si="15"/>
        <v xml:space="preserve">SECRETARÍA GENERAL </v>
      </c>
      <c r="AW18" s="54" t="s">
        <v>248</v>
      </c>
      <c r="AX18" s="55" t="s">
        <v>249</v>
      </c>
      <c r="AY18" s="48" t="s">
        <v>244</v>
      </c>
      <c r="AZ18" s="48" t="s">
        <v>244</v>
      </c>
      <c r="BA18" s="56" t="s">
        <v>250</v>
      </c>
      <c r="BB18" s="57" t="s">
        <v>251</v>
      </c>
      <c r="BC18" s="57" t="s">
        <v>252</v>
      </c>
      <c r="BD18" s="57" t="s">
        <v>250</v>
      </c>
      <c r="BE18" s="57"/>
      <c r="BF18" s="57"/>
    </row>
    <row r="19" spans="1:58" ht="78.75" x14ac:dyDescent="0.2">
      <c r="A19" s="44" t="s">
        <v>258</v>
      </c>
      <c r="B19" s="45" t="s">
        <v>63</v>
      </c>
      <c r="C19" s="45" t="s">
        <v>65</v>
      </c>
      <c r="D19" s="45" t="s">
        <v>5</v>
      </c>
      <c r="E19" s="45"/>
      <c r="F19" s="45" t="s">
        <v>383</v>
      </c>
      <c r="G19" s="45" t="s">
        <v>374</v>
      </c>
      <c r="H19" s="45" t="s">
        <v>67</v>
      </c>
      <c r="I19" s="45">
        <v>4</v>
      </c>
      <c r="J19" s="75">
        <v>5500000</v>
      </c>
      <c r="K19" s="172">
        <f t="shared" si="2"/>
        <v>3.6363636363636376E-2</v>
      </c>
      <c r="L19" s="166">
        <f>IF(H19="OTRO",(J19*1.05),VLOOKUP((I19&amp;H19),'ESCALAS Salarios'!$D$2:$F$30,3,0))</f>
        <v>5700000</v>
      </c>
      <c r="M19" s="45">
        <v>1</v>
      </c>
      <c r="N19" s="45" t="s">
        <v>485</v>
      </c>
      <c r="O19" s="59">
        <v>45327</v>
      </c>
      <c r="P19" s="58">
        <v>45639</v>
      </c>
      <c r="Q19" s="59">
        <f>VLOOKUP($A19,[6]Contratistas!$A$3:$R$117,10,0)</f>
        <v>45327</v>
      </c>
      <c r="R19" s="237">
        <f>VLOOKUP($A19,[6]Contratistas!$A$3:$R$117,11,0)</f>
        <v>45639</v>
      </c>
      <c r="S19" s="78">
        <f t="shared" si="3"/>
        <v>59280000</v>
      </c>
      <c r="T19" s="59"/>
      <c r="U19" s="59"/>
      <c r="V19" s="78">
        <f t="shared" si="4"/>
        <v>0</v>
      </c>
      <c r="W19" s="76">
        <f t="shared" si="5"/>
        <v>10</v>
      </c>
      <c r="X19" s="93">
        <f t="shared" si="6"/>
        <v>59280000</v>
      </c>
      <c r="Y19" s="93">
        <v>55000000</v>
      </c>
      <c r="Z19" s="171">
        <f t="shared" si="7"/>
        <v>7.7818181818181786E-2</v>
      </c>
      <c r="AA19" s="133">
        <v>1024463446</v>
      </c>
      <c r="AB19" s="134" t="s">
        <v>401</v>
      </c>
      <c r="AC19" s="80">
        <f t="shared" si="8"/>
        <v>59280000</v>
      </c>
      <c r="AD19" s="81" t="s">
        <v>243</v>
      </c>
      <c r="AE19" s="82" t="s">
        <v>1</v>
      </c>
      <c r="AF19" s="83" t="s">
        <v>361</v>
      </c>
      <c r="AG19" s="83"/>
      <c r="AH19" s="84" t="str">
        <f t="shared" si="12"/>
        <v>CON-008</v>
      </c>
      <c r="AI19" s="81">
        <v>80111600</v>
      </c>
      <c r="AJ19" s="46" t="s">
        <v>148</v>
      </c>
      <c r="AK19" s="47">
        <f t="shared" si="9"/>
        <v>45327</v>
      </c>
      <c r="AL19" s="47">
        <f t="shared" si="10"/>
        <v>45327</v>
      </c>
      <c r="AM19" s="233">
        <f t="shared" si="13"/>
        <v>10</v>
      </c>
      <c r="AN19" s="48" t="s">
        <v>241</v>
      </c>
      <c r="AO19" s="49" t="s">
        <v>242</v>
      </c>
      <c r="AP19" s="50">
        <f t="shared" si="14"/>
        <v>59280000</v>
      </c>
      <c r="AQ19" s="50">
        <f t="shared" si="11"/>
        <v>59280000</v>
      </c>
      <c r="AR19" s="48" t="s">
        <v>244</v>
      </c>
      <c r="AS19" s="48" t="s">
        <v>245</v>
      </c>
      <c r="AT19" s="51" t="s">
        <v>246</v>
      </c>
      <c r="AU19" s="52" t="s">
        <v>247</v>
      </c>
      <c r="AV19" s="53" t="str">
        <f t="shared" si="15"/>
        <v>OFICINA DE CONTROL INTERNO</v>
      </c>
      <c r="AW19" s="54" t="s">
        <v>248</v>
      </c>
      <c r="AX19" s="55" t="s">
        <v>249</v>
      </c>
      <c r="AY19" s="48" t="s">
        <v>244</v>
      </c>
      <c r="AZ19" s="48" t="s">
        <v>244</v>
      </c>
      <c r="BA19" s="56" t="s">
        <v>250</v>
      </c>
      <c r="BB19" s="57" t="s">
        <v>251</v>
      </c>
      <c r="BC19" s="57" t="s">
        <v>252</v>
      </c>
      <c r="BD19" s="57" t="s">
        <v>250</v>
      </c>
      <c r="BE19" s="57"/>
      <c r="BF19" s="57"/>
    </row>
    <row r="20" spans="1:58" ht="45" x14ac:dyDescent="0.2">
      <c r="A20" s="44" t="s">
        <v>259</v>
      </c>
      <c r="B20" s="45" t="s">
        <v>63</v>
      </c>
      <c r="C20" s="45" t="s">
        <v>65</v>
      </c>
      <c r="D20" s="45" t="s">
        <v>5</v>
      </c>
      <c r="E20" s="45"/>
      <c r="F20" s="45" t="s">
        <v>383</v>
      </c>
      <c r="G20" s="45" t="s">
        <v>374</v>
      </c>
      <c r="H20" s="45" t="s">
        <v>67</v>
      </c>
      <c r="I20" s="45">
        <v>1</v>
      </c>
      <c r="J20" s="75">
        <v>4550000</v>
      </c>
      <c r="K20" s="172">
        <f t="shared" si="2"/>
        <v>3.2967032967033072E-2</v>
      </c>
      <c r="L20" s="166">
        <f>IF(H20="OTRO",(J20*1.05),VLOOKUP((I20&amp;H20),'ESCALAS Salarios'!$D$2:$F$30,3,0))</f>
        <v>4700000</v>
      </c>
      <c r="M20" s="45">
        <v>1</v>
      </c>
      <c r="N20" s="45" t="s">
        <v>485</v>
      </c>
      <c r="O20" s="59">
        <v>45327</v>
      </c>
      <c r="P20" s="58">
        <v>45639</v>
      </c>
      <c r="Q20" s="59">
        <f>VLOOKUP($A20,[6]Contratistas!$A$3:$R$117,10,0)</f>
        <v>45327</v>
      </c>
      <c r="R20" s="237">
        <f>VLOOKUP($A20,[6]Contratistas!$A$3:$R$117,11,0)</f>
        <v>45639</v>
      </c>
      <c r="S20" s="78">
        <f t="shared" si="3"/>
        <v>48880000</v>
      </c>
      <c r="T20" s="59"/>
      <c r="U20" s="59"/>
      <c r="V20" s="78">
        <f t="shared" si="4"/>
        <v>0</v>
      </c>
      <c r="W20" s="76">
        <f t="shared" si="5"/>
        <v>10</v>
      </c>
      <c r="X20" s="93">
        <f t="shared" si="6"/>
        <v>48880000</v>
      </c>
      <c r="Y20" s="93">
        <v>45500000</v>
      </c>
      <c r="Z20" s="171">
        <f t="shared" si="7"/>
        <v>7.4285714285714288E-2</v>
      </c>
      <c r="AA20" s="133">
        <v>1032393280</v>
      </c>
      <c r="AB20" s="134" t="s">
        <v>402</v>
      </c>
      <c r="AC20" s="80">
        <f t="shared" si="8"/>
        <v>48880000</v>
      </c>
      <c r="AD20" s="81" t="s">
        <v>243</v>
      </c>
      <c r="AE20" s="82" t="s">
        <v>1</v>
      </c>
      <c r="AF20" s="83" t="s">
        <v>361</v>
      </c>
      <c r="AG20" s="83"/>
      <c r="AH20" s="84" t="str">
        <f t="shared" si="12"/>
        <v>CON-009</v>
      </c>
      <c r="AI20" s="81">
        <v>80111600</v>
      </c>
      <c r="AJ20" s="46" t="s">
        <v>149</v>
      </c>
      <c r="AK20" s="47">
        <f t="shared" si="9"/>
        <v>45327</v>
      </c>
      <c r="AL20" s="47">
        <f t="shared" si="10"/>
        <v>45327</v>
      </c>
      <c r="AM20" s="233">
        <f t="shared" si="13"/>
        <v>10</v>
      </c>
      <c r="AN20" s="48" t="s">
        <v>241</v>
      </c>
      <c r="AO20" s="49" t="s">
        <v>242</v>
      </c>
      <c r="AP20" s="50">
        <f t="shared" si="14"/>
        <v>48880000</v>
      </c>
      <c r="AQ20" s="50">
        <f t="shared" si="11"/>
        <v>48880000</v>
      </c>
      <c r="AR20" s="48" t="s">
        <v>244</v>
      </c>
      <c r="AS20" s="48" t="s">
        <v>245</v>
      </c>
      <c r="AT20" s="51" t="s">
        <v>246</v>
      </c>
      <c r="AU20" s="52" t="s">
        <v>247</v>
      </c>
      <c r="AV20" s="53" t="str">
        <f t="shared" si="15"/>
        <v>OFICINA DE CONTROL INTERNO</v>
      </c>
      <c r="AW20" s="54" t="s">
        <v>248</v>
      </c>
      <c r="AX20" s="55" t="s">
        <v>249</v>
      </c>
      <c r="AY20" s="48" t="s">
        <v>244</v>
      </c>
      <c r="AZ20" s="48" t="s">
        <v>244</v>
      </c>
      <c r="BA20" s="56" t="s">
        <v>250</v>
      </c>
      <c r="BB20" s="57" t="s">
        <v>251</v>
      </c>
      <c r="BC20" s="57" t="s">
        <v>252</v>
      </c>
      <c r="BD20" s="57" t="s">
        <v>250</v>
      </c>
      <c r="BE20" s="57"/>
      <c r="BF20" s="57"/>
    </row>
    <row r="21" spans="1:58" ht="33.75" x14ac:dyDescent="0.2">
      <c r="A21" s="44" t="s">
        <v>260</v>
      </c>
      <c r="B21" s="45" t="s">
        <v>63</v>
      </c>
      <c r="C21" s="45" t="s">
        <v>65</v>
      </c>
      <c r="D21" s="45" t="s">
        <v>5</v>
      </c>
      <c r="E21" s="45"/>
      <c r="F21" s="45" t="s">
        <v>383</v>
      </c>
      <c r="G21" s="45" t="s">
        <v>374</v>
      </c>
      <c r="H21" s="45" t="s">
        <v>69</v>
      </c>
      <c r="I21" s="45">
        <v>6</v>
      </c>
      <c r="J21" s="75">
        <v>4200000</v>
      </c>
      <c r="K21" s="172">
        <f t="shared" si="2"/>
        <v>4.7619047619047672E-2</v>
      </c>
      <c r="L21" s="166">
        <f>IF(H21="OTRO",(J21*1.05),VLOOKUP((I21&amp;H21),'ESCALAS Salarios'!$D$2:$F$30,3,0))</f>
        <v>4400000</v>
      </c>
      <c r="M21" s="45">
        <v>1</v>
      </c>
      <c r="N21" s="45" t="s">
        <v>485</v>
      </c>
      <c r="O21" s="59">
        <v>45327</v>
      </c>
      <c r="P21" s="58">
        <v>45639</v>
      </c>
      <c r="Q21" s="59">
        <f>VLOOKUP($A21,[6]Contratistas!$A$3:$R$117,10,0)</f>
        <v>45327</v>
      </c>
      <c r="R21" s="237">
        <f>VLOOKUP($A21,[6]Contratistas!$A$3:$R$117,11,0)</f>
        <v>45639</v>
      </c>
      <c r="S21" s="78">
        <f t="shared" si="3"/>
        <v>45760000</v>
      </c>
      <c r="T21" s="59"/>
      <c r="U21" s="59"/>
      <c r="V21" s="78">
        <f t="shared" si="4"/>
        <v>0</v>
      </c>
      <c r="W21" s="76">
        <f t="shared" si="5"/>
        <v>10</v>
      </c>
      <c r="X21" s="93">
        <f t="shared" si="6"/>
        <v>45760000</v>
      </c>
      <c r="Y21" s="93">
        <v>46200000</v>
      </c>
      <c r="Z21" s="171">
        <f t="shared" si="7"/>
        <v>-9.52380952380949E-3</v>
      </c>
      <c r="AA21" s="133">
        <v>52890082</v>
      </c>
      <c r="AB21" s="134" t="s">
        <v>403</v>
      </c>
      <c r="AC21" s="80">
        <f t="shared" si="8"/>
        <v>45760000</v>
      </c>
      <c r="AD21" s="81" t="s">
        <v>243</v>
      </c>
      <c r="AE21" s="82" t="s">
        <v>1</v>
      </c>
      <c r="AF21" s="83" t="s">
        <v>361</v>
      </c>
      <c r="AG21" s="83"/>
      <c r="AH21" s="84" t="str">
        <f t="shared" si="12"/>
        <v>CON-010</v>
      </c>
      <c r="AI21" s="81">
        <v>80111600</v>
      </c>
      <c r="AJ21" s="46" t="s">
        <v>150</v>
      </c>
      <c r="AK21" s="47">
        <f t="shared" si="9"/>
        <v>45327</v>
      </c>
      <c r="AL21" s="47">
        <f t="shared" si="10"/>
        <v>45327</v>
      </c>
      <c r="AM21" s="233">
        <f t="shared" si="13"/>
        <v>10</v>
      </c>
      <c r="AN21" s="48" t="s">
        <v>241</v>
      </c>
      <c r="AO21" s="49" t="s">
        <v>242</v>
      </c>
      <c r="AP21" s="50">
        <f t="shared" si="14"/>
        <v>45760000</v>
      </c>
      <c r="AQ21" s="50">
        <f t="shared" si="11"/>
        <v>45760000</v>
      </c>
      <c r="AR21" s="48" t="s">
        <v>244</v>
      </c>
      <c r="AS21" s="48" t="s">
        <v>245</v>
      </c>
      <c r="AT21" s="51" t="s">
        <v>246</v>
      </c>
      <c r="AU21" s="52" t="s">
        <v>247</v>
      </c>
      <c r="AV21" s="53" t="str">
        <f t="shared" si="15"/>
        <v>OFICINA DE CONTROL INTERNO</v>
      </c>
      <c r="AW21" s="54" t="s">
        <v>248</v>
      </c>
      <c r="AX21" s="55" t="s">
        <v>249</v>
      </c>
      <c r="AY21" s="48" t="s">
        <v>244</v>
      </c>
      <c r="AZ21" s="48" t="s">
        <v>244</v>
      </c>
      <c r="BA21" s="56" t="s">
        <v>250</v>
      </c>
      <c r="BB21" s="57" t="s">
        <v>251</v>
      </c>
      <c r="BC21" s="57" t="s">
        <v>252</v>
      </c>
      <c r="BD21" s="57" t="s">
        <v>250</v>
      </c>
      <c r="BE21" s="57"/>
      <c r="BF21" s="57"/>
    </row>
    <row r="22" spans="1:58" ht="60.75" customHeight="1" x14ac:dyDescent="0.2">
      <c r="A22" s="44" t="s">
        <v>261</v>
      </c>
      <c r="B22" s="45" t="s">
        <v>63</v>
      </c>
      <c r="C22" s="45" t="s">
        <v>65</v>
      </c>
      <c r="D22" s="45" t="s">
        <v>6</v>
      </c>
      <c r="E22" s="45"/>
      <c r="F22" s="45" t="s">
        <v>7</v>
      </c>
      <c r="G22" s="45" t="s">
        <v>72</v>
      </c>
      <c r="H22" s="45" t="s">
        <v>471</v>
      </c>
      <c r="I22" s="45">
        <v>6</v>
      </c>
      <c r="J22" s="166">
        <v>9500000</v>
      </c>
      <c r="K22" s="172">
        <f t="shared" si="2"/>
        <v>3.1578947368421151E-2</v>
      </c>
      <c r="L22" s="166">
        <f>IF(H22="OTRO",(J22*1.05),VLOOKUP((I22&amp;H22),'ESCALAS Salarios'!$D$2:$F$30,3,0))</f>
        <v>9800000</v>
      </c>
      <c r="M22" s="45">
        <v>1</v>
      </c>
      <c r="N22" s="45" t="s">
        <v>485</v>
      </c>
      <c r="O22" s="59">
        <v>45306</v>
      </c>
      <c r="P22" s="58">
        <v>45646</v>
      </c>
      <c r="Q22" s="59">
        <f>VLOOKUP($A22,[6]Contratistas!$A$3:$R$117,10,0)</f>
        <v>45306</v>
      </c>
      <c r="R22" s="237">
        <f>VLOOKUP($A22,[6]Contratistas!$A$3:$R$117,11,0)</f>
        <v>45646</v>
      </c>
      <c r="S22" s="78">
        <f t="shared" si="3"/>
        <v>111066666.66666667</v>
      </c>
      <c r="T22" s="59"/>
      <c r="U22" s="59"/>
      <c r="V22" s="78">
        <f t="shared" si="4"/>
        <v>0</v>
      </c>
      <c r="W22" s="76">
        <f t="shared" si="5"/>
        <v>11</v>
      </c>
      <c r="X22" s="93">
        <f t="shared" si="6"/>
        <v>111066666.66666667</v>
      </c>
      <c r="Y22" s="93">
        <v>104500000</v>
      </c>
      <c r="Z22" s="171">
        <f t="shared" si="7"/>
        <v>6.2838915470494472E-2</v>
      </c>
      <c r="AA22" s="133">
        <v>52887262</v>
      </c>
      <c r="AB22" s="134" t="s">
        <v>8</v>
      </c>
      <c r="AC22" s="80">
        <f t="shared" si="8"/>
        <v>111066666.66666667</v>
      </c>
      <c r="AD22" s="81" t="s">
        <v>243</v>
      </c>
      <c r="AE22" s="82" t="s">
        <v>1</v>
      </c>
      <c r="AF22" s="83" t="s">
        <v>361</v>
      </c>
      <c r="AG22" s="83"/>
      <c r="AH22" s="84" t="str">
        <f t="shared" si="12"/>
        <v>CON-011</v>
      </c>
      <c r="AI22" s="81">
        <v>80111600</v>
      </c>
      <c r="AJ22" s="46" t="s">
        <v>151</v>
      </c>
      <c r="AK22" s="47">
        <f t="shared" si="9"/>
        <v>45306</v>
      </c>
      <c r="AL22" s="47">
        <f t="shared" si="10"/>
        <v>45306</v>
      </c>
      <c r="AM22" s="233">
        <f t="shared" si="13"/>
        <v>11</v>
      </c>
      <c r="AN22" s="48" t="s">
        <v>241</v>
      </c>
      <c r="AO22" s="49" t="s">
        <v>242</v>
      </c>
      <c r="AP22" s="50">
        <f t="shared" si="14"/>
        <v>111066666.66666667</v>
      </c>
      <c r="AQ22" s="50">
        <f t="shared" si="11"/>
        <v>111066666.66666667</v>
      </c>
      <c r="AR22" s="48" t="s">
        <v>244</v>
      </c>
      <c r="AS22" s="48" t="s">
        <v>245</v>
      </c>
      <c r="AT22" s="51" t="s">
        <v>246</v>
      </c>
      <c r="AU22" s="52" t="s">
        <v>247</v>
      </c>
      <c r="AV22" s="53" t="str">
        <f t="shared" si="15"/>
        <v xml:space="preserve">OFICINA JURÍDICA </v>
      </c>
      <c r="AW22" s="54" t="s">
        <v>248</v>
      </c>
      <c r="AX22" s="55" t="s">
        <v>249</v>
      </c>
      <c r="AY22" s="48" t="s">
        <v>244</v>
      </c>
      <c r="AZ22" s="48" t="s">
        <v>244</v>
      </c>
      <c r="BA22" s="56" t="s">
        <v>250</v>
      </c>
      <c r="BB22" s="57" t="s">
        <v>251</v>
      </c>
      <c r="BC22" s="57" t="s">
        <v>252</v>
      </c>
      <c r="BD22" s="57" t="s">
        <v>250</v>
      </c>
      <c r="BE22" s="57"/>
      <c r="BF22" s="57"/>
    </row>
    <row r="23" spans="1:58" ht="80.25" customHeight="1" x14ac:dyDescent="0.2">
      <c r="A23" s="44" t="s">
        <v>262</v>
      </c>
      <c r="B23" s="45" t="s">
        <v>63</v>
      </c>
      <c r="C23" s="45" t="s">
        <v>65</v>
      </c>
      <c r="D23" s="45" t="s">
        <v>6</v>
      </c>
      <c r="E23" s="45"/>
      <c r="F23" s="45" t="s">
        <v>383</v>
      </c>
      <c r="G23" s="45" t="s">
        <v>374</v>
      </c>
      <c r="H23" s="45" t="s">
        <v>67</v>
      </c>
      <c r="I23" s="45">
        <v>4</v>
      </c>
      <c r="J23" s="75">
        <v>5500000</v>
      </c>
      <c r="K23" s="172">
        <f t="shared" si="2"/>
        <v>3.6363636363636376E-2</v>
      </c>
      <c r="L23" s="166">
        <f>IF(H23="OTRO",(J23*1.05),VLOOKUP((I23&amp;H23),'ESCALAS Salarios'!$D$2:$F$30,3,0))</f>
        <v>5700000</v>
      </c>
      <c r="M23" s="45">
        <v>1</v>
      </c>
      <c r="N23" s="45" t="s">
        <v>485</v>
      </c>
      <c r="O23" s="59">
        <v>45306</v>
      </c>
      <c r="P23" s="58">
        <v>45639</v>
      </c>
      <c r="Q23" s="59">
        <f>VLOOKUP($A23,[6]Contratistas!$A$3:$R$117,10,0)</f>
        <v>45306</v>
      </c>
      <c r="R23" s="237">
        <f>VLOOKUP($A23,[6]Contratistas!$A$3:$R$117,11,0)</f>
        <v>45639</v>
      </c>
      <c r="S23" s="78">
        <f t="shared" si="3"/>
        <v>63270000</v>
      </c>
      <c r="T23" s="59"/>
      <c r="U23" s="59"/>
      <c r="V23" s="78">
        <f t="shared" si="4"/>
        <v>0</v>
      </c>
      <c r="W23" s="76">
        <f t="shared" si="5"/>
        <v>11</v>
      </c>
      <c r="X23" s="93">
        <f t="shared" si="6"/>
        <v>63270000</v>
      </c>
      <c r="Y23" s="93">
        <v>60500000</v>
      </c>
      <c r="Z23" s="171">
        <f t="shared" si="7"/>
        <v>4.5785123966942232E-2</v>
      </c>
      <c r="AA23" s="133">
        <v>1075257863</v>
      </c>
      <c r="AB23" s="134" t="s">
        <v>404</v>
      </c>
      <c r="AC23" s="80">
        <f t="shared" si="8"/>
        <v>63270000</v>
      </c>
      <c r="AD23" s="81" t="s">
        <v>243</v>
      </c>
      <c r="AE23" s="82" t="s">
        <v>1</v>
      </c>
      <c r="AF23" s="83" t="s">
        <v>361</v>
      </c>
      <c r="AG23" s="83"/>
      <c r="AH23" s="84" t="str">
        <f t="shared" si="12"/>
        <v>CON-012</v>
      </c>
      <c r="AI23" s="81">
        <v>80111600</v>
      </c>
      <c r="AJ23" s="46" t="s">
        <v>152</v>
      </c>
      <c r="AK23" s="47">
        <f t="shared" si="9"/>
        <v>45306</v>
      </c>
      <c r="AL23" s="47">
        <f t="shared" si="10"/>
        <v>45306</v>
      </c>
      <c r="AM23" s="233">
        <f t="shared" si="13"/>
        <v>11</v>
      </c>
      <c r="AN23" s="48" t="s">
        <v>241</v>
      </c>
      <c r="AO23" s="49" t="s">
        <v>242</v>
      </c>
      <c r="AP23" s="50">
        <f t="shared" si="14"/>
        <v>63270000</v>
      </c>
      <c r="AQ23" s="50">
        <f t="shared" si="11"/>
        <v>63270000</v>
      </c>
      <c r="AR23" s="48" t="s">
        <v>244</v>
      </c>
      <c r="AS23" s="48" t="s">
        <v>245</v>
      </c>
      <c r="AT23" s="51" t="s">
        <v>246</v>
      </c>
      <c r="AU23" s="52" t="s">
        <v>247</v>
      </c>
      <c r="AV23" s="53" t="str">
        <f t="shared" si="15"/>
        <v xml:space="preserve">OFICINA JURÍDICA </v>
      </c>
      <c r="AW23" s="54" t="s">
        <v>248</v>
      </c>
      <c r="AX23" s="55" t="s">
        <v>249</v>
      </c>
      <c r="AY23" s="48" t="s">
        <v>244</v>
      </c>
      <c r="AZ23" s="48" t="s">
        <v>244</v>
      </c>
      <c r="BA23" s="56" t="s">
        <v>250</v>
      </c>
      <c r="BB23" s="57" t="s">
        <v>251</v>
      </c>
      <c r="BC23" s="57" t="s">
        <v>252</v>
      </c>
      <c r="BD23" s="57" t="s">
        <v>250</v>
      </c>
      <c r="BE23" s="57"/>
      <c r="BF23" s="57"/>
    </row>
    <row r="24" spans="1:58" ht="106.5" customHeight="1" x14ac:dyDescent="0.2">
      <c r="A24" s="44" t="s">
        <v>263</v>
      </c>
      <c r="B24" s="45" t="s">
        <v>63</v>
      </c>
      <c r="C24" s="45" t="s">
        <v>65</v>
      </c>
      <c r="D24" s="45" t="s">
        <v>9</v>
      </c>
      <c r="E24" s="45"/>
      <c r="F24" s="45" t="s">
        <v>383</v>
      </c>
      <c r="G24" s="45" t="s">
        <v>374</v>
      </c>
      <c r="H24" s="45" t="s">
        <v>67</v>
      </c>
      <c r="I24" s="45">
        <v>4</v>
      </c>
      <c r="J24" s="75">
        <v>5500000</v>
      </c>
      <c r="K24" s="172">
        <f t="shared" si="2"/>
        <v>3.6363636363636376E-2</v>
      </c>
      <c r="L24" s="166">
        <f>IF(H24="OTRO",(J24*1.05),VLOOKUP((I24&amp;H24),'ESCALAS Salarios'!$D$2:$F$30,3,0))</f>
        <v>5700000</v>
      </c>
      <c r="M24" s="45">
        <v>1</v>
      </c>
      <c r="N24" s="45" t="s">
        <v>486</v>
      </c>
      <c r="O24" s="59">
        <v>45313</v>
      </c>
      <c r="P24" s="58">
        <v>45639</v>
      </c>
      <c r="Q24" s="59">
        <f>VLOOKUP($A24,[6]Contratistas!$A$3:$R$117,10,0)</f>
        <v>45313</v>
      </c>
      <c r="R24" s="237">
        <f>VLOOKUP($A24,[6]Contratistas!$A$3:$R$117,11,0)</f>
        <v>45639</v>
      </c>
      <c r="S24" s="78">
        <f t="shared" si="3"/>
        <v>62700000</v>
      </c>
      <c r="T24" s="59"/>
      <c r="U24" s="59"/>
      <c r="V24" s="78">
        <f t="shared" si="4"/>
        <v>0</v>
      </c>
      <c r="W24" s="76">
        <f t="shared" si="5"/>
        <v>11</v>
      </c>
      <c r="X24" s="93">
        <f t="shared" si="6"/>
        <v>62700000</v>
      </c>
      <c r="Y24" s="93">
        <v>60500000</v>
      </c>
      <c r="Z24" s="171">
        <f t="shared" si="7"/>
        <v>3.6363636363636376E-2</v>
      </c>
      <c r="AA24" s="133">
        <v>52847314</v>
      </c>
      <c r="AB24" s="134" t="s">
        <v>405</v>
      </c>
      <c r="AC24" s="80">
        <f t="shared" si="8"/>
        <v>62700000</v>
      </c>
      <c r="AD24" s="81" t="s">
        <v>243</v>
      </c>
      <c r="AE24" s="82" t="s">
        <v>1</v>
      </c>
      <c r="AF24" s="83" t="s">
        <v>361</v>
      </c>
      <c r="AG24" s="83"/>
      <c r="AH24" s="84" t="str">
        <f t="shared" si="12"/>
        <v>CON-013</v>
      </c>
      <c r="AI24" s="81">
        <v>80111600</v>
      </c>
      <c r="AJ24" s="46" t="s">
        <v>73</v>
      </c>
      <c r="AK24" s="47">
        <f t="shared" si="9"/>
        <v>45313</v>
      </c>
      <c r="AL24" s="47">
        <f t="shared" si="10"/>
        <v>45313</v>
      </c>
      <c r="AM24" s="233">
        <f t="shared" si="13"/>
        <v>11</v>
      </c>
      <c r="AN24" s="48" t="s">
        <v>241</v>
      </c>
      <c r="AO24" s="49" t="s">
        <v>242</v>
      </c>
      <c r="AP24" s="50">
        <f t="shared" si="14"/>
        <v>62700000</v>
      </c>
      <c r="AQ24" s="50">
        <f t="shared" si="11"/>
        <v>62700000</v>
      </c>
      <c r="AR24" s="48" t="s">
        <v>244</v>
      </c>
      <c r="AS24" s="48" t="s">
        <v>245</v>
      </c>
      <c r="AT24" s="51" t="s">
        <v>246</v>
      </c>
      <c r="AU24" s="52" t="s">
        <v>247</v>
      </c>
      <c r="AV24" s="53" t="str">
        <f t="shared" si="15"/>
        <v xml:space="preserve">OFICINA DE DESARROLLO Y PLANEACIÓN </v>
      </c>
      <c r="AW24" s="54" t="s">
        <v>248</v>
      </c>
      <c r="AX24" s="55" t="s">
        <v>249</v>
      </c>
      <c r="AY24" s="48" t="s">
        <v>244</v>
      </c>
      <c r="AZ24" s="48" t="s">
        <v>244</v>
      </c>
      <c r="BA24" s="56" t="s">
        <v>250</v>
      </c>
      <c r="BB24" s="57" t="s">
        <v>251</v>
      </c>
      <c r="BC24" s="57" t="s">
        <v>252</v>
      </c>
      <c r="BD24" s="57" t="s">
        <v>250</v>
      </c>
      <c r="BE24" s="57"/>
      <c r="BF24" s="57"/>
    </row>
    <row r="25" spans="1:58" ht="99.75" customHeight="1" x14ac:dyDescent="0.2">
      <c r="A25" s="44" t="s">
        <v>265</v>
      </c>
      <c r="B25" s="45" t="s">
        <v>63</v>
      </c>
      <c r="C25" s="45" t="s">
        <v>65</v>
      </c>
      <c r="D25" s="45" t="s">
        <v>9</v>
      </c>
      <c r="E25" s="45"/>
      <c r="F25" s="45" t="s">
        <v>383</v>
      </c>
      <c r="G25" s="45" t="s">
        <v>374</v>
      </c>
      <c r="H25" s="45" t="s">
        <v>67</v>
      </c>
      <c r="I25" s="45">
        <v>4</v>
      </c>
      <c r="J25" s="75">
        <v>5500000</v>
      </c>
      <c r="K25" s="172">
        <f t="shared" si="2"/>
        <v>3.6363636363636376E-2</v>
      </c>
      <c r="L25" s="166">
        <f>IF(H25="OTRO",(J25*1.05),VLOOKUP((I25&amp;H25),'ESCALAS Salarios'!$D$2:$F$30,3,0))</f>
        <v>5700000</v>
      </c>
      <c r="M25" s="45">
        <v>1</v>
      </c>
      <c r="N25" s="45" t="s">
        <v>486</v>
      </c>
      <c r="O25" s="59">
        <v>45327</v>
      </c>
      <c r="P25" s="58">
        <v>45639</v>
      </c>
      <c r="Q25" s="59">
        <f>VLOOKUP($A25,[6]Contratistas!$A$3:$R$117,10,0)</f>
        <v>45327</v>
      </c>
      <c r="R25" s="237">
        <f>VLOOKUP($A25,[6]Contratistas!$A$3:$R$117,11,0)</f>
        <v>45639</v>
      </c>
      <c r="S25" s="78">
        <f t="shared" si="3"/>
        <v>57000000</v>
      </c>
      <c r="T25" s="59"/>
      <c r="U25" s="59"/>
      <c r="V25" s="78">
        <f t="shared" si="4"/>
        <v>0</v>
      </c>
      <c r="W25" s="76">
        <f t="shared" si="5"/>
        <v>10</v>
      </c>
      <c r="X25" s="93">
        <f t="shared" si="6"/>
        <v>57000000</v>
      </c>
      <c r="Y25" s="93">
        <v>60500000</v>
      </c>
      <c r="Z25" s="171">
        <f t="shared" si="7"/>
        <v>-5.7851239669421517E-2</v>
      </c>
      <c r="AA25" s="133">
        <v>79894957</v>
      </c>
      <c r="AB25" s="134" t="s">
        <v>406</v>
      </c>
      <c r="AC25" s="80">
        <f t="shared" si="8"/>
        <v>57000000</v>
      </c>
      <c r="AD25" s="81" t="s">
        <v>243</v>
      </c>
      <c r="AE25" s="82" t="s">
        <v>1</v>
      </c>
      <c r="AF25" s="83" t="s">
        <v>361</v>
      </c>
      <c r="AG25" s="83"/>
      <c r="AH25" s="84" t="str">
        <f t="shared" si="12"/>
        <v>CON-014</v>
      </c>
      <c r="AI25" s="81">
        <v>80111600</v>
      </c>
      <c r="AJ25" s="46" t="s">
        <v>140</v>
      </c>
      <c r="AK25" s="47">
        <f t="shared" si="9"/>
        <v>45327</v>
      </c>
      <c r="AL25" s="47">
        <f t="shared" si="10"/>
        <v>45327</v>
      </c>
      <c r="AM25" s="233">
        <f t="shared" si="13"/>
        <v>10</v>
      </c>
      <c r="AN25" s="48" t="s">
        <v>241</v>
      </c>
      <c r="AO25" s="49" t="s">
        <v>242</v>
      </c>
      <c r="AP25" s="50">
        <f t="shared" si="14"/>
        <v>57000000</v>
      </c>
      <c r="AQ25" s="50">
        <f t="shared" si="11"/>
        <v>57000000</v>
      </c>
      <c r="AR25" s="48" t="s">
        <v>244</v>
      </c>
      <c r="AS25" s="48" t="s">
        <v>245</v>
      </c>
      <c r="AT25" s="51" t="s">
        <v>246</v>
      </c>
      <c r="AU25" s="52" t="s">
        <v>247</v>
      </c>
      <c r="AV25" s="53" t="str">
        <f t="shared" si="15"/>
        <v xml:space="preserve">OFICINA DE DESARROLLO Y PLANEACIÓN </v>
      </c>
      <c r="AW25" s="54" t="s">
        <v>248</v>
      </c>
      <c r="AX25" s="55" t="s">
        <v>249</v>
      </c>
      <c r="AY25" s="48" t="s">
        <v>244</v>
      </c>
      <c r="AZ25" s="48" t="s">
        <v>244</v>
      </c>
      <c r="BA25" s="56" t="s">
        <v>250</v>
      </c>
      <c r="BB25" s="57" t="s">
        <v>251</v>
      </c>
      <c r="BC25" s="57" t="s">
        <v>252</v>
      </c>
      <c r="BD25" s="57" t="s">
        <v>250</v>
      </c>
      <c r="BE25" s="57"/>
      <c r="BF25" s="57"/>
    </row>
    <row r="26" spans="1:58" ht="81.75" customHeight="1" x14ac:dyDescent="0.2">
      <c r="A26" s="44" t="s">
        <v>266</v>
      </c>
      <c r="B26" s="45" t="s">
        <v>63</v>
      </c>
      <c r="C26" s="45" t="s">
        <v>65</v>
      </c>
      <c r="D26" s="45" t="s">
        <v>9</v>
      </c>
      <c r="E26" s="45"/>
      <c r="F26" s="45" t="s">
        <v>383</v>
      </c>
      <c r="G26" s="45" t="s">
        <v>374</v>
      </c>
      <c r="H26" s="45" t="s">
        <v>67</v>
      </c>
      <c r="I26" s="45">
        <v>1</v>
      </c>
      <c r="J26" s="75">
        <v>4500000</v>
      </c>
      <c r="K26" s="172">
        <f t="shared" si="2"/>
        <v>4.4444444444444509E-2</v>
      </c>
      <c r="L26" s="166">
        <f>IF(H26="OTRO",(J26*1.05),VLOOKUP((I26&amp;H26),'ESCALAS Salarios'!$D$2:$F$30,3,0))</f>
        <v>4700000</v>
      </c>
      <c r="M26" s="45">
        <v>1</v>
      </c>
      <c r="N26" s="45" t="s">
        <v>486</v>
      </c>
      <c r="O26" s="59">
        <v>45334</v>
      </c>
      <c r="P26" s="58">
        <v>45626</v>
      </c>
      <c r="Q26" s="59">
        <f>VLOOKUP($A26,[6]Contratistas!$A$3:$R$117,10,0)</f>
        <v>45334</v>
      </c>
      <c r="R26" s="237">
        <f>VLOOKUP($A26,[6]Contratistas!$A$3:$R$117,11,0)</f>
        <v>45626</v>
      </c>
      <c r="S26" s="78">
        <f t="shared" si="3"/>
        <v>47000000</v>
      </c>
      <c r="T26" s="59"/>
      <c r="U26" s="59"/>
      <c r="V26" s="78">
        <f t="shared" si="4"/>
        <v>0</v>
      </c>
      <c r="W26" s="76">
        <f t="shared" si="5"/>
        <v>10</v>
      </c>
      <c r="X26" s="93">
        <f t="shared" si="6"/>
        <v>47000000</v>
      </c>
      <c r="Y26" s="93">
        <v>18200000</v>
      </c>
      <c r="Z26" s="171">
        <f t="shared" si="7"/>
        <v>1.5824175824175826</v>
      </c>
      <c r="AA26" s="133">
        <v>1087992773</v>
      </c>
      <c r="AB26" s="134" t="s">
        <v>407</v>
      </c>
      <c r="AC26" s="80">
        <f t="shared" si="8"/>
        <v>47000000</v>
      </c>
      <c r="AD26" s="81" t="s">
        <v>243</v>
      </c>
      <c r="AE26" s="82" t="s">
        <v>1</v>
      </c>
      <c r="AF26" s="83" t="s">
        <v>361</v>
      </c>
      <c r="AG26" s="83"/>
      <c r="AH26" s="84" t="str">
        <f t="shared" si="12"/>
        <v>CON-015</v>
      </c>
      <c r="AI26" s="81">
        <v>80111600</v>
      </c>
      <c r="AJ26" s="46" t="s">
        <v>391</v>
      </c>
      <c r="AK26" s="47">
        <f t="shared" si="9"/>
        <v>45334</v>
      </c>
      <c r="AL26" s="47">
        <f t="shared" si="10"/>
        <v>45334</v>
      </c>
      <c r="AM26" s="233">
        <f t="shared" si="13"/>
        <v>10</v>
      </c>
      <c r="AN26" s="48" t="s">
        <v>241</v>
      </c>
      <c r="AO26" s="49" t="s">
        <v>242</v>
      </c>
      <c r="AP26" s="50">
        <f t="shared" si="14"/>
        <v>47000000</v>
      </c>
      <c r="AQ26" s="50">
        <f t="shared" si="11"/>
        <v>47000000</v>
      </c>
      <c r="AR26" s="48" t="s">
        <v>244</v>
      </c>
      <c r="AS26" s="48" t="s">
        <v>245</v>
      </c>
      <c r="AT26" s="51" t="s">
        <v>246</v>
      </c>
      <c r="AU26" s="52" t="s">
        <v>247</v>
      </c>
      <c r="AV26" s="53" t="str">
        <f t="shared" si="15"/>
        <v xml:space="preserve">OFICINA DE DESARROLLO Y PLANEACIÓN </v>
      </c>
      <c r="AW26" s="54" t="s">
        <v>248</v>
      </c>
      <c r="AX26" s="55" t="s">
        <v>249</v>
      </c>
      <c r="AY26" s="48" t="s">
        <v>244</v>
      </c>
      <c r="AZ26" s="48" t="s">
        <v>244</v>
      </c>
      <c r="BA26" s="56" t="s">
        <v>250</v>
      </c>
      <c r="BB26" s="57" t="s">
        <v>251</v>
      </c>
      <c r="BC26" s="57" t="s">
        <v>252</v>
      </c>
      <c r="BD26" s="57" t="s">
        <v>250</v>
      </c>
      <c r="BE26" s="57"/>
      <c r="BF26" s="57"/>
    </row>
    <row r="27" spans="1:58" ht="81.75" customHeight="1" x14ac:dyDescent="0.2">
      <c r="A27" s="44" t="s">
        <v>267</v>
      </c>
      <c r="B27" s="193" t="s">
        <v>63</v>
      </c>
      <c r="C27" s="193" t="s">
        <v>65</v>
      </c>
      <c r="D27" s="193" t="s">
        <v>9</v>
      </c>
      <c r="E27" s="193"/>
      <c r="F27" s="45" t="s">
        <v>383</v>
      </c>
      <c r="G27" s="45" t="s">
        <v>374</v>
      </c>
      <c r="H27" s="45" t="s">
        <v>67</v>
      </c>
      <c r="I27" s="45">
        <v>4</v>
      </c>
      <c r="J27" s="75">
        <v>5500000</v>
      </c>
      <c r="K27" s="172">
        <f t="shared" si="2"/>
        <v>3.6363636363636376E-2</v>
      </c>
      <c r="L27" s="166">
        <f>IF(H27="OTRO",(J27*1.05),VLOOKUP((I27&amp;H27),'ESCALAS Salarios'!$D$2:$F$30,3,0))</f>
        <v>5700000</v>
      </c>
      <c r="M27" s="45">
        <v>1</v>
      </c>
      <c r="N27" s="45" t="s">
        <v>486</v>
      </c>
      <c r="O27" s="59">
        <v>45313</v>
      </c>
      <c r="P27" s="58">
        <v>45639</v>
      </c>
      <c r="Q27" s="59">
        <f>VLOOKUP($A27,[6]Contratistas!$A$3:$R$117,10,0)</f>
        <v>45313</v>
      </c>
      <c r="R27" s="237">
        <f>VLOOKUP($A27,[6]Contratistas!$A$3:$R$117,11,0)</f>
        <v>45639</v>
      </c>
      <c r="S27" s="78">
        <f t="shared" si="3"/>
        <v>62700000</v>
      </c>
      <c r="T27" s="59"/>
      <c r="U27" s="59"/>
      <c r="V27" s="78">
        <f t="shared" si="4"/>
        <v>0</v>
      </c>
      <c r="W27" s="76">
        <f t="shared" si="5"/>
        <v>11</v>
      </c>
      <c r="X27" s="93">
        <f t="shared" si="6"/>
        <v>62700000</v>
      </c>
      <c r="Y27" s="93"/>
      <c r="Z27" s="171">
        <f t="shared" si="7"/>
        <v>1</v>
      </c>
      <c r="AA27" s="133"/>
      <c r="AB27" s="134" t="s">
        <v>490</v>
      </c>
      <c r="AC27" s="80">
        <f t="shared" si="8"/>
        <v>62700000</v>
      </c>
      <c r="AD27" s="81" t="s">
        <v>243</v>
      </c>
      <c r="AE27" s="82" t="s">
        <v>1</v>
      </c>
      <c r="AF27" s="83" t="s">
        <v>361</v>
      </c>
      <c r="AG27" s="83"/>
      <c r="AH27" s="84" t="str">
        <f t="shared" si="12"/>
        <v>CON-016</v>
      </c>
      <c r="AI27" s="81">
        <v>80111600</v>
      </c>
      <c r="AJ27" s="46" t="s">
        <v>491</v>
      </c>
      <c r="AK27" s="47">
        <f t="shared" si="9"/>
        <v>45313</v>
      </c>
      <c r="AL27" s="47">
        <f t="shared" si="10"/>
        <v>45313</v>
      </c>
      <c r="AM27" s="233">
        <f t="shared" si="13"/>
        <v>11</v>
      </c>
      <c r="AN27" s="48" t="s">
        <v>241</v>
      </c>
      <c r="AO27" s="49" t="s">
        <v>242</v>
      </c>
      <c r="AP27" s="50">
        <f t="shared" si="14"/>
        <v>62700000</v>
      </c>
      <c r="AQ27" s="50">
        <f t="shared" si="11"/>
        <v>62700000</v>
      </c>
      <c r="AR27" s="48" t="s">
        <v>244</v>
      </c>
      <c r="AS27" s="48" t="s">
        <v>245</v>
      </c>
      <c r="AT27" s="51" t="s">
        <v>246</v>
      </c>
      <c r="AU27" s="52" t="s">
        <v>247</v>
      </c>
      <c r="AV27" s="53" t="str">
        <f t="shared" si="15"/>
        <v xml:space="preserve">OFICINA DE DESARROLLO Y PLANEACIÓN </v>
      </c>
      <c r="AW27" s="54" t="s">
        <v>248</v>
      </c>
      <c r="AX27" s="55" t="s">
        <v>249</v>
      </c>
      <c r="AY27" s="48" t="s">
        <v>244</v>
      </c>
      <c r="AZ27" s="48" t="s">
        <v>244</v>
      </c>
      <c r="BA27" s="56" t="s">
        <v>250</v>
      </c>
      <c r="BB27" s="57" t="s">
        <v>251</v>
      </c>
      <c r="BC27" s="57" t="s">
        <v>252</v>
      </c>
      <c r="BD27" s="57" t="s">
        <v>250</v>
      </c>
      <c r="BE27" s="57"/>
      <c r="BF27" s="57"/>
    </row>
    <row r="28" spans="1:58" ht="81.75" customHeight="1" x14ac:dyDescent="0.2">
      <c r="A28" s="44" t="s">
        <v>268</v>
      </c>
      <c r="B28" s="193" t="s">
        <v>63</v>
      </c>
      <c r="C28" s="193" t="s">
        <v>65</v>
      </c>
      <c r="D28" s="193" t="s">
        <v>9</v>
      </c>
      <c r="E28" s="193"/>
      <c r="F28" s="45" t="s">
        <v>383</v>
      </c>
      <c r="G28" s="45" t="s">
        <v>374</v>
      </c>
      <c r="H28" s="45" t="s">
        <v>67</v>
      </c>
      <c r="I28" s="45">
        <v>4</v>
      </c>
      <c r="J28" s="75">
        <v>5500000</v>
      </c>
      <c r="K28" s="172">
        <f t="shared" si="2"/>
        <v>3.6363636363636376E-2</v>
      </c>
      <c r="L28" s="166">
        <f>IF(H28="OTRO",(J28*1.05),VLOOKUP((I28&amp;H28),'ESCALAS Salarios'!$D$2:$F$30,3,0))</f>
        <v>5700000</v>
      </c>
      <c r="M28" s="45">
        <v>1</v>
      </c>
      <c r="N28" s="45" t="s">
        <v>486</v>
      </c>
      <c r="O28" s="59">
        <v>45306</v>
      </c>
      <c r="P28" s="58">
        <v>45639</v>
      </c>
      <c r="Q28" s="59">
        <f>VLOOKUP($A28,[6]Contratistas!$A$3:$R$117,10,0)</f>
        <v>45306</v>
      </c>
      <c r="R28" s="237">
        <f>VLOOKUP($A28,[6]Contratistas!$A$3:$R$117,11,0)</f>
        <v>45639</v>
      </c>
      <c r="S28" s="78">
        <f t="shared" si="3"/>
        <v>62700000</v>
      </c>
      <c r="T28" s="59"/>
      <c r="U28" s="59"/>
      <c r="V28" s="78">
        <f t="shared" si="4"/>
        <v>0</v>
      </c>
      <c r="W28" s="76">
        <f t="shared" si="5"/>
        <v>11</v>
      </c>
      <c r="X28" s="93">
        <f t="shared" si="6"/>
        <v>62700000</v>
      </c>
      <c r="Y28" s="93"/>
      <c r="Z28" s="171">
        <f t="shared" si="7"/>
        <v>1</v>
      </c>
      <c r="AA28" s="133"/>
      <c r="AB28" s="134" t="s">
        <v>489</v>
      </c>
      <c r="AC28" s="80">
        <f t="shared" si="8"/>
        <v>62700000</v>
      </c>
      <c r="AD28" s="81" t="s">
        <v>243</v>
      </c>
      <c r="AE28" s="82" t="s">
        <v>1</v>
      </c>
      <c r="AF28" s="83" t="s">
        <v>361</v>
      </c>
      <c r="AG28" s="83"/>
      <c r="AH28" s="84" t="str">
        <f t="shared" si="12"/>
        <v>CON-017</v>
      </c>
      <c r="AI28" s="81">
        <v>80111600</v>
      </c>
      <c r="AJ28" s="46" t="s">
        <v>492</v>
      </c>
      <c r="AK28" s="47">
        <f t="shared" si="9"/>
        <v>45306</v>
      </c>
      <c r="AL28" s="47">
        <f t="shared" si="10"/>
        <v>45306</v>
      </c>
      <c r="AM28" s="233">
        <f t="shared" si="13"/>
        <v>11</v>
      </c>
      <c r="AN28" s="48" t="s">
        <v>241</v>
      </c>
      <c r="AO28" s="49" t="s">
        <v>242</v>
      </c>
      <c r="AP28" s="50">
        <f t="shared" si="14"/>
        <v>62700000</v>
      </c>
      <c r="AQ28" s="50">
        <f t="shared" si="11"/>
        <v>62700000</v>
      </c>
      <c r="AR28" s="48" t="s">
        <v>244</v>
      </c>
      <c r="AS28" s="48" t="s">
        <v>245</v>
      </c>
      <c r="AT28" s="51" t="s">
        <v>246</v>
      </c>
      <c r="AU28" s="52" t="s">
        <v>247</v>
      </c>
      <c r="AV28" s="53" t="str">
        <f t="shared" si="15"/>
        <v xml:space="preserve">OFICINA DE DESARROLLO Y PLANEACIÓN </v>
      </c>
      <c r="AW28" s="54" t="s">
        <v>248</v>
      </c>
      <c r="AX28" s="55" t="s">
        <v>249</v>
      </c>
      <c r="AY28" s="48" t="s">
        <v>244</v>
      </c>
      <c r="AZ28" s="48" t="s">
        <v>244</v>
      </c>
      <c r="BA28" s="56" t="s">
        <v>250</v>
      </c>
      <c r="BB28" s="57" t="s">
        <v>251</v>
      </c>
      <c r="BC28" s="57" t="s">
        <v>252</v>
      </c>
      <c r="BD28" s="57" t="s">
        <v>250</v>
      </c>
      <c r="BE28" s="57"/>
      <c r="BF28" s="57"/>
    </row>
    <row r="29" spans="1:58" ht="81.75" customHeight="1" x14ac:dyDescent="0.2">
      <c r="A29" s="44" t="s">
        <v>269</v>
      </c>
      <c r="B29" s="45" t="s">
        <v>63</v>
      </c>
      <c r="C29" s="45" t="s">
        <v>65</v>
      </c>
      <c r="D29" s="45" t="s">
        <v>9</v>
      </c>
      <c r="E29" s="45"/>
      <c r="F29" s="45" t="s">
        <v>383</v>
      </c>
      <c r="G29" s="45" t="s">
        <v>374</v>
      </c>
      <c r="H29" s="45" t="s">
        <v>67</v>
      </c>
      <c r="I29" s="45">
        <v>4</v>
      </c>
      <c r="J29" s="75">
        <v>5500000</v>
      </c>
      <c r="K29" s="172">
        <f t="shared" si="2"/>
        <v>3.6363636363636376E-2</v>
      </c>
      <c r="L29" s="166">
        <f>IF(H29="OTRO",(J29*1.05),VLOOKUP((I29&amp;H29),'ESCALAS Salarios'!$D$2:$F$30,3,0))</f>
        <v>5700000</v>
      </c>
      <c r="M29" s="45">
        <v>1</v>
      </c>
      <c r="N29" s="45" t="s">
        <v>486</v>
      </c>
      <c r="O29" s="59">
        <v>45306</v>
      </c>
      <c r="P29" s="58">
        <v>45639</v>
      </c>
      <c r="Q29" s="59">
        <f>VLOOKUP($A29,[6]Contratistas!$A$3:$R$117,10,0)</f>
        <v>45306</v>
      </c>
      <c r="R29" s="237">
        <f>VLOOKUP($A29,[6]Contratistas!$A$3:$R$117,11,0)</f>
        <v>45639</v>
      </c>
      <c r="S29" s="78">
        <f t="shared" si="3"/>
        <v>62700000</v>
      </c>
      <c r="T29" s="59"/>
      <c r="U29" s="59"/>
      <c r="V29" s="78">
        <f t="shared" si="4"/>
        <v>0</v>
      </c>
      <c r="W29" s="76">
        <f t="shared" si="5"/>
        <v>11</v>
      </c>
      <c r="X29" s="93">
        <f t="shared" si="6"/>
        <v>62700000</v>
      </c>
      <c r="Y29" s="93"/>
      <c r="Z29" s="171">
        <f t="shared" si="7"/>
        <v>1</v>
      </c>
      <c r="AA29" s="133"/>
      <c r="AB29" s="134" t="s">
        <v>463</v>
      </c>
      <c r="AC29" s="80">
        <f t="shared" si="8"/>
        <v>62700000</v>
      </c>
      <c r="AD29" s="81" t="s">
        <v>243</v>
      </c>
      <c r="AE29" s="82" t="s">
        <v>1</v>
      </c>
      <c r="AF29" s="83" t="s">
        <v>361</v>
      </c>
      <c r="AG29" s="83"/>
      <c r="AH29" s="84" t="str">
        <f t="shared" si="12"/>
        <v>CON-018</v>
      </c>
      <c r="AI29" s="81">
        <v>80111600</v>
      </c>
      <c r="AJ29" s="34" t="s">
        <v>464</v>
      </c>
      <c r="AK29" s="47">
        <f t="shared" si="9"/>
        <v>45306</v>
      </c>
      <c r="AL29" s="47">
        <f t="shared" si="10"/>
        <v>45306</v>
      </c>
      <c r="AM29" s="233">
        <f t="shared" si="13"/>
        <v>11</v>
      </c>
      <c r="AN29" s="48" t="s">
        <v>241</v>
      </c>
      <c r="AO29" s="49" t="s">
        <v>242</v>
      </c>
      <c r="AP29" s="50">
        <f t="shared" si="14"/>
        <v>62700000</v>
      </c>
      <c r="AQ29" s="50">
        <f t="shared" si="11"/>
        <v>62700000</v>
      </c>
      <c r="AR29" s="48" t="s">
        <v>244</v>
      </c>
      <c r="AS29" s="48" t="s">
        <v>245</v>
      </c>
      <c r="AT29" s="51" t="s">
        <v>246</v>
      </c>
      <c r="AU29" s="52" t="s">
        <v>247</v>
      </c>
      <c r="AV29" s="53" t="str">
        <f>D29</f>
        <v xml:space="preserve">OFICINA DE DESARROLLO Y PLANEACIÓN </v>
      </c>
      <c r="AW29" s="54" t="s">
        <v>248</v>
      </c>
      <c r="AX29" s="55" t="s">
        <v>249</v>
      </c>
      <c r="AY29" s="48" t="s">
        <v>244</v>
      </c>
      <c r="AZ29" s="48" t="s">
        <v>244</v>
      </c>
      <c r="BA29" s="56" t="s">
        <v>250</v>
      </c>
      <c r="BB29" s="57" t="s">
        <v>251</v>
      </c>
      <c r="BC29" s="57" t="s">
        <v>252</v>
      </c>
      <c r="BD29" s="57" t="s">
        <v>250</v>
      </c>
      <c r="BE29" s="57"/>
      <c r="BF29" s="57"/>
    </row>
    <row r="30" spans="1:58" ht="81.75" customHeight="1" x14ac:dyDescent="0.2">
      <c r="A30" s="44" t="s">
        <v>271</v>
      </c>
      <c r="B30" s="193" t="s">
        <v>63</v>
      </c>
      <c r="C30" s="193" t="s">
        <v>65</v>
      </c>
      <c r="D30" s="193" t="s">
        <v>9</v>
      </c>
      <c r="E30" s="193"/>
      <c r="F30" s="45" t="s">
        <v>383</v>
      </c>
      <c r="G30" s="45" t="s">
        <v>374</v>
      </c>
      <c r="H30" s="45" t="s">
        <v>471</v>
      </c>
      <c r="I30" s="45">
        <v>5</v>
      </c>
      <c r="J30" s="75">
        <v>9000000</v>
      </c>
      <c r="K30" s="172">
        <f t="shared" si="2"/>
        <v>2.2222222222222143E-2</v>
      </c>
      <c r="L30" s="166">
        <f>IF(H30="OTRO",(J30*1.05),VLOOKUP((I30&amp;H30),'ESCALAS Salarios'!$D$2:$F$30,3,0))</f>
        <v>9200000</v>
      </c>
      <c r="M30" s="45">
        <v>1</v>
      </c>
      <c r="N30" s="45" t="s">
        <v>486</v>
      </c>
      <c r="O30" s="59">
        <v>45327</v>
      </c>
      <c r="P30" s="58">
        <v>45535</v>
      </c>
      <c r="Q30" s="59">
        <f>VLOOKUP($A30,[6]Contratistas!$A$3:$R$117,10,0)</f>
        <v>45327</v>
      </c>
      <c r="R30" s="237">
        <f>VLOOKUP($A30,[6]Contratistas!$A$3:$R$117,11,0)</f>
        <v>45535</v>
      </c>
      <c r="S30" s="78">
        <f t="shared" si="3"/>
        <v>64400000</v>
      </c>
      <c r="T30" s="59"/>
      <c r="U30" s="59"/>
      <c r="V30" s="78">
        <f t="shared" si="4"/>
        <v>0</v>
      </c>
      <c r="W30" s="76">
        <f t="shared" si="5"/>
        <v>7</v>
      </c>
      <c r="X30" s="93">
        <f t="shared" si="6"/>
        <v>64400000</v>
      </c>
      <c r="Y30" s="93"/>
      <c r="Z30" s="171">
        <f t="shared" si="7"/>
        <v>1</v>
      </c>
      <c r="AA30" s="133"/>
      <c r="AB30" s="134" t="s">
        <v>482</v>
      </c>
      <c r="AC30" s="80">
        <f t="shared" si="8"/>
        <v>64400000</v>
      </c>
      <c r="AD30" s="81" t="s">
        <v>243</v>
      </c>
      <c r="AE30" s="82" t="s">
        <v>1</v>
      </c>
      <c r="AF30" s="83" t="s">
        <v>361</v>
      </c>
      <c r="AG30" s="83"/>
      <c r="AH30" s="84" t="str">
        <f t="shared" si="12"/>
        <v>CON-019</v>
      </c>
      <c r="AI30" s="81">
        <v>80111600</v>
      </c>
      <c r="AJ30" s="46" t="s">
        <v>495</v>
      </c>
      <c r="AK30" s="47">
        <f t="shared" si="9"/>
        <v>45327</v>
      </c>
      <c r="AL30" s="47">
        <f t="shared" si="10"/>
        <v>45327</v>
      </c>
      <c r="AM30" s="233">
        <f t="shared" si="13"/>
        <v>7</v>
      </c>
      <c r="AN30" s="48" t="s">
        <v>241</v>
      </c>
      <c r="AO30" s="49" t="s">
        <v>242</v>
      </c>
      <c r="AP30" s="50">
        <f t="shared" si="14"/>
        <v>64400000</v>
      </c>
      <c r="AQ30" s="50">
        <f t="shared" si="11"/>
        <v>64400000</v>
      </c>
      <c r="AR30" s="48" t="s">
        <v>244</v>
      </c>
      <c r="AS30" s="48" t="s">
        <v>245</v>
      </c>
      <c r="AT30" s="51" t="s">
        <v>246</v>
      </c>
      <c r="AU30" s="52" t="s">
        <v>247</v>
      </c>
      <c r="AV30" s="53" t="str">
        <f t="shared" si="15"/>
        <v xml:space="preserve">OFICINA DE DESARROLLO Y PLANEACIÓN </v>
      </c>
      <c r="AW30" s="54" t="s">
        <v>248</v>
      </c>
      <c r="AX30" s="55" t="s">
        <v>249</v>
      </c>
      <c r="AY30" s="48" t="s">
        <v>244</v>
      </c>
      <c r="AZ30" s="48" t="s">
        <v>244</v>
      </c>
      <c r="BA30" s="56" t="s">
        <v>250</v>
      </c>
      <c r="BB30" s="57" t="s">
        <v>251</v>
      </c>
      <c r="BC30" s="57" t="s">
        <v>252</v>
      </c>
      <c r="BD30" s="57" t="s">
        <v>250</v>
      </c>
      <c r="BE30" s="57"/>
      <c r="BF30" s="57"/>
    </row>
    <row r="31" spans="1:58" ht="81.75" customHeight="1" x14ac:dyDescent="0.2">
      <c r="A31" s="44" t="s">
        <v>272</v>
      </c>
      <c r="B31" s="193" t="s">
        <v>63</v>
      </c>
      <c r="C31" s="193" t="s">
        <v>65</v>
      </c>
      <c r="D31" s="193" t="s">
        <v>9</v>
      </c>
      <c r="E31" s="193"/>
      <c r="F31" s="45" t="s">
        <v>383</v>
      </c>
      <c r="G31" s="45" t="s">
        <v>374</v>
      </c>
      <c r="H31" s="45" t="s">
        <v>67</v>
      </c>
      <c r="I31" s="45">
        <v>4</v>
      </c>
      <c r="J31" s="75">
        <v>5500000</v>
      </c>
      <c r="K31" s="172">
        <f t="shared" si="2"/>
        <v>3.6363636363636376E-2</v>
      </c>
      <c r="L31" s="166">
        <f>IF(H31="OTRO",(J31*1.05),VLOOKUP((I31&amp;H31),'ESCALAS Salarios'!$D$2:$F$30,3,0))</f>
        <v>5700000</v>
      </c>
      <c r="M31" s="45">
        <v>1</v>
      </c>
      <c r="N31" s="45" t="s">
        <v>486</v>
      </c>
      <c r="O31" s="59">
        <v>45313</v>
      </c>
      <c r="P31" s="58">
        <v>45639</v>
      </c>
      <c r="Q31" s="59">
        <f>VLOOKUP($A31,[6]Contratistas!$A$3:$R$117,10,0)</f>
        <v>45313</v>
      </c>
      <c r="R31" s="237">
        <f>VLOOKUP($A31,[6]Contratistas!$A$3:$R$117,11,0)</f>
        <v>45639</v>
      </c>
      <c r="S31" s="78">
        <f t="shared" si="3"/>
        <v>62700000</v>
      </c>
      <c r="T31" s="59"/>
      <c r="U31" s="59"/>
      <c r="V31" s="78">
        <f t="shared" si="4"/>
        <v>0</v>
      </c>
      <c r="W31" s="76">
        <f t="shared" si="5"/>
        <v>11</v>
      </c>
      <c r="X31" s="93">
        <f t="shared" si="6"/>
        <v>62700000</v>
      </c>
      <c r="Y31" s="93"/>
      <c r="Z31" s="171">
        <f t="shared" si="7"/>
        <v>1</v>
      </c>
      <c r="AA31" s="133"/>
      <c r="AB31" s="134" t="s">
        <v>494</v>
      </c>
      <c r="AC31" s="80">
        <f t="shared" si="8"/>
        <v>62700000</v>
      </c>
      <c r="AD31" s="81" t="s">
        <v>243</v>
      </c>
      <c r="AE31" s="82" t="s">
        <v>1</v>
      </c>
      <c r="AF31" s="83" t="s">
        <v>361</v>
      </c>
      <c r="AG31" s="83"/>
      <c r="AH31" s="84" t="str">
        <f t="shared" si="12"/>
        <v>CON-020</v>
      </c>
      <c r="AI31" s="81">
        <v>80111600</v>
      </c>
      <c r="AJ31" s="46" t="s">
        <v>493</v>
      </c>
      <c r="AK31" s="47">
        <f t="shared" si="9"/>
        <v>45313</v>
      </c>
      <c r="AL31" s="47">
        <f t="shared" si="10"/>
        <v>45313</v>
      </c>
      <c r="AM31" s="233">
        <f t="shared" si="13"/>
        <v>11</v>
      </c>
      <c r="AN31" s="48" t="s">
        <v>241</v>
      </c>
      <c r="AO31" s="49" t="s">
        <v>242</v>
      </c>
      <c r="AP31" s="50">
        <f t="shared" si="14"/>
        <v>62700000</v>
      </c>
      <c r="AQ31" s="50">
        <f t="shared" si="11"/>
        <v>62700000</v>
      </c>
      <c r="AR31" s="48" t="s">
        <v>244</v>
      </c>
      <c r="AS31" s="48" t="s">
        <v>245</v>
      </c>
      <c r="AT31" s="51" t="s">
        <v>246</v>
      </c>
      <c r="AU31" s="52" t="s">
        <v>247</v>
      </c>
      <c r="AV31" s="53" t="str">
        <f t="shared" si="15"/>
        <v xml:space="preserve">OFICINA DE DESARROLLO Y PLANEACIÓN </v>
      </c>
      <c r="AW31" s="54" t="s">
        <v>248</v>
      </c>
      <c r="AX31" s="55" t="s">
        <v>249</v>
      </c>
      <c r="AY31" s="48" t="s">
        <v>244</v>
      </c>
      <c r="AZ31" s="48" t="s">
        <v>244</v>
      </c>
      <c r="BA31" s="56" t="s">
        <v>250</v>
      </c>
      <c r="BB31" s="57" t="s">
        <v>251</v>
      </c>
      <c r="BC31" s="57" t="s">
        <v>252</v>
      </c>
      <c r="BD31" s="57" t="s">
        <v>250</v>
      </c>
      <c r="BE31" s="57"/>
      <c r="BF31" s="57"/>
    </row>
    <row r="32" spans="1:58" ht="81.75" customHeight="1" x14ac:dyDescent="0.2">
      <c r="A32" s="44" t="s">
        <v>273</v>
      </c>
      <c r="B32" s="45" t="s">
        <v>63</v>
      </c>
      <c r="C32" s="45" t="s">
        <v>65</v>
      </c>
      <c r="D32" s="45" t="s">
        <v>9</v>
      </c>
      <c r="E32" s="45"/>
      <c r="F32" s="45" t="s">
        <v>383</v>
      </c>
      <c r="G32" s="45" t="s">
        <v>374</v>
      </c>
      <c r="H32" s="45" t="s">
        <v>67</v>
      </c>
      <c r="I32" s="45">
        <v>4</v>
      </c>
      <c r="J32" s="75">
        <v>5000000</v>
      </c>
      <c r="K32" s="172">
        <f t="shared" si="2"/>
        <v>0.1399999999999999</v>
      </c>
      <c r="L32" s="166">
        <f>IF(H32="OTRO",(J32*1.05),VLOOKUP((I32&amp;H32),'ESCALAS Salarios'!$D$2:$F$30,3,0))</f>
        <v>5700000</v>
      </c>
      <c r="M32" s="45">
        <v>1</v>
      </c>
      <c r="N32" s="45" t="s">
        <v>486</v>
      </c>
      <c r="O32" s="59">
        <v>45327</v>
      </c>
      <c r="P32" s="58">
        <v>45639</v>
      </c>
      <c r="Q32" s="59">
        <f>VLOOKUP($A32,[6]Contratistas!$A$3:$R$117,10,0)</f>
        <v>45327</v>
      </c>
      <c r="R32" s="237">
        <f>VLOOKUP($A32,[6]Contratistas!$A$3:$R$117,11,0)</f>
        <v>45639</v>
      </c>
      <c r="S32" s="78">
        <f t="shared" si="3"/>
        <v>57000000</v>
      </c>
      <c r="T32" s="59"/>
      <c r="U32" s="59"/>
      <c r="V32" s="78">
        <f t="shared" si="4"/>
        <v>0</v>
      </c>
      <c r="W32" s="76">
        <f t="shared" si="5"/>
        <v>10</v>
      </c>
      <c r="X32" s="93">
        <f t="shared" si="6"/>
        <v>57000000</v>
      </c>
      <c r="Y32" s="93"/>
      <c r="Z32" s="171">
        <f t="shared" si="7"/>
        <v>1</v>
      </c>
      <c r="AA32" s="133">
        <v>52080684</v>
      </c>
      <c r="AB32" s="134" t="s">
        <v>645</v>
      </c>
      <c r="AC32" s="80">
        <f t="shared" si="8"/>
        <v>57000000</v>
      </c>
      <c r="AD32" s="81" t="s">
        <v>243</v>
      </c>
      <c r="AE32" s="82" t="s">
        <v>1</v>
      </c>
      <c r="AF32" s="83" t="s">
        <v>361</v>
      </c>
      <c r="AG32" s="83"/>
      <c r="AH32" s="84" t="str">
        <f t="shared" si="12"/>
        <v>CON-021</v>
      </c>
      <c r="AI32" s="81">
        <v>80111600</v>
      </c>
      <c r="AJ32" s="46" t="s">
        <v>644</v>
      </c>
      <c r="AK32" s="47">
        <f t="shared" si="9"/>
        <v>45327</v>
      </c>
      <c r="AL32" s="47">
        <f t="shared" si="10"/>
        <v>45327</v>
      </c>
      <c r="AM32" s="233">
        <f t="shared" si="13"/>
        <v>10</v>
      </c>
      <c r="AN32" s="48" t="s">
        <v>241</v>
      </c>
      <c r="AO32" s="49" t="s">
        <v>242</v>
      </c>
      <c r="AP32" s="50">
        <f t="shared" si="14"/>
        <v>57000000</v>
      </c>
      <c r="AQ32" s="50">
        <f t="shared" si="11"/>
        <v>57000000</v>
      </c>
      <c r="AR32" s="48" t="s">
        <v>244</v>
      </c>
      <c r="AS32" s="48" t="s">
        <v>245</v>
      </c>
      <c r="AT32" s="51" t="s">
        <v>246</v>
      </c>
      <c r="AU32" s="52" t="s">
        <v>247</v>
      </c>
      <c r="AV32" s="53" t="str">
        <f t="shared" si="15"/>
        <v xml:space="preserve">OFICINA DE DESARROLLO Y PLANEACIÓN </v>
      </c>
      <c r="AW32" s="54" t="s">
        <v>248</v>
      </c>
      <c r="AX32" s="55" t="s">
        <v>249</v>
      </c>
      <c r="AY32" s="48" t="s">
        <v>244</v>
      </c>
      <c r="AZ32" s="48" t="s">
        <v>244</v>
      </c>
      <c r="BA32" s="56" t="s">
        <v>250</v>
      </c>
      <c r="BB32" s="57" t="s">
        <v>251</v>
      </c>
      <c r="BC32" s="57" t="s">
        <v>252</v>
      </c>
      <c r="BD32" s="57" t="s">
        <v>250</v>
      </c>
      <c r="BE32" s="57"/>
      <c r="BF32" s="57"/>
    </row>
    <row r="33" spans="1:58" ht="81.75" customHeight="1" x14ac:dyDescent="0.2">
      <c r="A33" s="44" t="s">
        <v>274</v>
      </c>
      <c r="B33" s="193" t="s">
        <v>63</v>
      </c>
      <c r="C33" s="193" t="s">
        <v>65</v>
      </c>
      <c r="D33" s="193" t="s">
        <v>9</v>
      </c>
      <c r="E33" s="193"/>
      <c r="F33" s="45" t="s">
        <v>383</v>
      </c>
      <c r="G33" s="45" t="s">
        <v>374</v>
      </c>
      <c r="H33" s="45" t="s">
        <v>67</v>
      </c>
      <c r="I33" s="45">
        <v>3</v>
      </c>
      <c r="J33" s="75"/>
      <c r="K33" s="172">
        <f t="shared" si="2"/>
        <v>1</v>
      </c>
      <c r="L33" s="166">
        <f>IF(H33="OTRO",(J33*1.05),VLOOKUP((I33&amp;H33),'ESCALAS Salarios'!$D$2:$F$30,3,0))</f>
        <v>5350000</v>
      </c>
      <c r="M33" s="45">
        <v>1</v>
      </c>
      <c r="N33" s="45" t="s">
        <v>485</v>
      </c>
      <c r="O33" s="59">
        <v>45334</v>
      </c>
      <c r="P33" s="58">
        <v>45626</v>
      </c>
      <c r="Q33" s="59">
        <f>VLOOKUP($A33,[6]Contratistas!$A$3:$R$117,10,0)</f>
        <v>45334</v>
      </c>
      <c r="R33" s="237">
        <f>VLOOKUP($A33,[6]Contratistas!$A$3:$R$117,11,0)</f>
        <v>45626</v>
      </c>
      <c r="S33" s="78">
        <f t="shared" si="3"/>
        <v>52073333.333333328</v>
      </c>
      <c r="T33" s="59"/>
      <c r="U33" s="59"/>
      <c r="V33" s="78">
        <f t="shared" si="4"/>
        <v>0</v>
      </c>
      <c r="W33" s="76">
        <f t="shared" si="5"/>
        <v>10</v>
      </c>
      <c r="X33" s="93">
        <f t="shared" si="6"/>
        <v>52073333.333333328</v>
      </c>
      <c r="Y33" s="93"/>
      <c r="Z33" s="171">
        <f t="shared" si="7"/>
        <v>1</v>
      </c>
      <c r="AA33" s="133"/>
      <c r="AB33" s="134" t="s">
        <v>483</v>
      </c>
      <c r="AC33" s="80">
        <f t="shared" si="8"/>
        <v>52073333.333333328</v>
      </c>
      <c r="AD33" s="81" t="s">
        <v>243</v>
      </c>
      <c r="AE33" s="82" t="s">
        <v>1</v>
      </c>
      <c r="AF33" s="83" t="s">
        <v>361</v>
      </c>
      <c r="AG33" s="83"/>
      <c r="AH33" s="84" t="str">
        <f t="shared" si="12"/>
        <v>CON-022</v>
      </c>
      <c r="AI33" s="81">
        <v>80111600</v>
      </c>
      <c r="AJ33" s="46" t="s">
        <v>513</v>
      </c>
      <c r="AK33" s="47">
        <f t="shared" si="9"/>
        <v>45334</v>
      </c>
      <c r="AL33" s="47">
        <f t="shared" si="10"/>
        <v>45334</v>
      </c>
      <c r="AM33" s="233">
        <f t="shared" si="13"/>
        <v>10</v>
      </c>
      <c r="AN33" s="48" t="s">
        <v>241</v>
      </c>
      <c r="AO33" s="49" t="s">
        <v>242</v>
      </c>
      <c r="AP33" s="50">
        <f t="shared" si="14"/>
        <v>52073333.333333328</v>
      </c>
      <c r="AQ33" s="50">
        <f t="shared" si="11"/>
        <v>52073333.333333328</v>
      </c>
      <c r="AR33" s="48" t="s">
        <v>244</v>
      </c>
      <c r="AS33" s="48" t="s">
        <v>245</v>
      </c>
      <c r="AT33" s="51" t="s">
        <v>246</v>
      </c>
      <c r="AU33" s="52" t="s">
        <v>247</v>
      </c>
      <c r="AV33" s="53" t="str">
        <f t="shared" si="15"/>
        <v xml:space="preserve">OFICINA DE DESARROLLO Y PLANEACIÓN </v>
      </c>
      <c r="AW33" s="54" t="s">
        <v>248</v>
      </c>
      <c r="AX33" s="55" t="s">
        <v>249</v>
      </c>
      <c r="AY33" s="48" t="s">
        <v>244</v>
      </c>
      <c r="AZ33" s="48" t="s">
        <v>244</v>
      </c>
      <c r="BA33" s="56" t="s">
        <v>250</v>
      </c>
      <c r="BB33" s="57" t="s">
        <v>251</v>
      </c>
      <c r="BC33" s="57" t="s">
        <v>252</v>
      </c>
      <c r="BD33" s="57" t="s">
        <v>250</v>
      </c>
      <c r="BE33" s="57"/>
      <c r="BF33" s="57"/>
    </row>
    <row r="34" spans="1:58" ht="81.75" customHeight="1" x14ac:dyDescent="0.2">
      <c r="A34" s="44" t="s">
        <v>275</v>
      </c>
      <c r="B34" s="193" t="s">
        <v>63</v>
      </c>
      <c r="C34" s="193" t="s">
        <v>65</v>
      </c>
      <c r="D34" s="193" t="s">
        <v>9</v>
      </c>
      <c r="E34" s="193"/>
      <c r="F34" s="45" t="s">
        <v>383</v>
      </c>
      <c r="G34" s="45" t="s">
        <v>374</v>
      </c>
      <c r="H34" s="45" t="s">
        <v>67</v>
      </c>
      <c r="I34" s="45">
        <v>2</v>
      </c>
      <c r="J34" s="75"/>
      <c r="K34" s="172">
        <f t="shared" si="2"/>
        <v>1</v>
      </c>
      <c r="L34" s="166">
        <f>IF(H34="OTRO",(J34*1.05),VLOOKUP((I34&amp;H34),'ESCALAS Salarios'!$D$2:$F$30,3,0))</f>
        <v>5000000</v>
      </c>
      <c r="M34" s="45">
        <v>1</v>
      </c>
      <c r="N34" s="45" t="s">
        <v>485</v>
      </c>
      <c r="O34" s="59">
        <v>45334</v>
      </c>
      <c r="P34" s="58">
        <v>45626</v>
      </c>
      <c r="Q34" s="59">
        <f>VLOOKUP($A34,[6]Contratistas!$A$3:$R$117,10,0)</f>
        <v>45334</v>
      </c>
      <c r="R34" s="237">
        <f>VLOOKUP($A34,[6]Contratistas!$A$3:$R$117,11,0)</f>
        <v>45626</v>
      </c>
      <c r="S34" s="78">
        <f t="shared" si="3"/>
        <v>48666666.666666664</v>
      </c>
      <c r="T34" s="59"/>
      <c r="U34" s="59"/>
      <c r="V34" s="78">
        <f t="shared" si="4"/>
        <v>0</v>
      </c>
      <c r="W34" s="76">
        <f t="shared" si="5"/>
        <v>10</v>
      </c>
      <c r="X34" s="93">
        <f t="shared" si="6"/>
        <v>48666666.666666664</v>
      </c>
      <c r="Y34" s="93"/>
      <c r="Z34" s="171">
        <f t="shared" si="7"/>
        <v>1</v>
      </c>
      <c r="AA34" s="133"/>
      <c r="AB34" s="134" t="s">
        <v>483</v>
      </c>
      <c r="AC34" s="80">
        <f t="shared" si="8"/>
        <v>48666666.666666664</v>
      </c>
      <c r="AD34" s="81" t="s">
        <v>243</v>
      </c>
      <c r="AE34" s="82" t="s">
        <v>1</v>
      </c>
      <c r="AF34" s="83" t="s">
        <v>361</v>
      </c>
      <c r="AG34" s="83"/>
      <c r="AH34" s="84" t="str">
        <f t="shared" si="12"/>
        <v>CON-023</v>
      </c>
      <c r="AI34" s="81">
        <v>80111600</v>
      </c>
      <c r="AJ34" s="46" t="s">
        <v>514</v>
      </c>
      <c r="AK34" s="47">
        <f t="shared" si="9"/>
        <v>45334</v>
      </c>
      <c r="AL34" s="47">
        <f t="shared" si="10"/>
        <v>45334</v>
      </c>
      <c r="AM34" s="233">
        <f t="shared" si="13"/>
        <v>10</v>
      </c>
      <c r="AN34" s="48" t="s">
        <v>241</v>
      </c>
      <c r="AO34" s="49" t="s">
        <v>242</v>
      </c>
      <c r="AP34" s="50">
        <f t="shared" si="14"/>
        <v>48666666.666666664</v>
      </c>
      <c r="AQ34" s="50">
        <f t="shared" si="11"/>
        <v>48666666.666666664</v>
      </c>
      <c r="AR34" s="48" t="s">
        <v>244</v>
      </c>
      <c r="AS34" s="48" t="s">
        <v>245</v>
      </c>
      <c r="AT34" s="51" t="s">
        <v>246</v>
      </c>
      <c r="AU34" s="52" t="s">
        <v>247</v>
      </c>
      <c r="AV34" s="53" t="str">
        <f t="shared" si="15"/>
        <v xml:space="preserve">OFICINA DE DESARROLLO Y PLANEACIÓN </v>
      </c>
      <c r="AW34" s="54" t="s">
        <v>248</v>
      </c>
      <c r="AX34" s="55" t="s">
        <v>249</v>
      </c>
      <c r="AY34" s="48" t="s">
        <v>244</v>
      </c>
      <c r="AZ34" s="48" t="s">
        <v>244</v>
      </c>
      <c r="BA34" s="56" t="s">
        <v>250</v>
      </c>
      <c r="BB34" s="57" t="s">
        <v>251</v>
      </c>
      <c r="BC34" s="57" t="s">
        <v>252</v>
      </c>
      <c r="BD34" s="57" t="s">
        <v>250</v>
      </c>
      <c r="BE34" s="57"/>
      <c r="BF34" s="57"/>
    </row>
    <row r="35" spans="1:58" ht="98.25" customHeight="1" x14ac:dyDescent="0.2">
      <c r="A35" s="44" t="s">
        <v>628</v>
      </c>
      <c r="B35" s="45" t="s">
        <v>63</v>
      </c>
      <c r="C35" s="45" t="s">
        <v>65</v>
      </c>
      <c r="D35" s="45" t="s">
        <v>9</v>
      </c>
      <c r="E35" s="45"/>
      <c r="F35" s="45"/>
      <c r="G35" s="45" t="s">
        <v>72</v>
      </c>
      <c r="H35" s="45" t="s">
        <v>473</v>
      </c>
      <c r="I35" s="45"/>
      <c r="J35" s="175">
        <v>3282647.4545454546</v>
      </c>
      <c r="K35" s="172">
        <f t="shared" si="2"/>
        <v>0.10000000000000009</v>
      </c>
      <c r="L35" s="232">
        <f>+J35*1.1</f>
        <v>3610912.2</v>
      </c>
      <c r="M35" s="45">
        <v>1</v>
      </c>
      <c r="N35" s="45" t="s">
        <v>486</v>
      </c>
      <c r="O35" s="59">
        <v>45327</v>
      </c>
      <c r="P35" s="58">
        <v>45646</v>
      </c>
      <c r="Q35" s="59">
        <f>VLOOKUP($A35,[6]Contratistas!$A$3:$R$117,10,0)</f>
        <v>45327</v>
      </c>
      <c r="R35" s="237">
        <f>VLOOKUP($A35,[6]Contratistas!$A$3:$R$117,11,0)</f>
        <v>45646</v>
      </c>
      <c r="S35" s="78">
        <f t="shared" si="3"/>
        <v>39720034.200000003</v>
      </c>
      <c r="T35" s="59"/>
      <c r="U35" s="59"/>
      <c r="V35" s="78">
        <f t="shared" si="4"/>
        <v>0</v>
      </c>
      <c r="W35" s="76">
        <f t="shared" si="5"/>
        <v>11</v>
      </c>
      <c r="X35" s="93">
        <f t="shared" si="6"/>
        <v>39720034.200000003</v>
      </c>
      <c r="Y35" s="93">
        <v>36109122</v>
      </c>
      <c r="Z35" s="171">
        <f t="shared" si="7"/>
        <v>0.10000000000000009</v>
      </c>
      <c r="AA35" s="135"/>
      <c r="AB35" s="77" t="s">
        <v>10</v>
      </c>
      <c r="AC35" s="80">
        <f t="shared" si="8"/>
        <v>39720034.200000003</v>
      </c>
      <c r="AD35" s="81" t="s">
        <v>243</v>
      </c>
      <c r="AE35" s="82" t="s">
        <v>1</v>
      </c>
      <c r="AF35" s="83" t="s">
        <v>361</v>
      </c>
      <c r="AG35" s="83"/>
      <c r="AH35" s="84" t="str">
        <f t="shared" si="12"/>
        <v>CON-024</v>
      </c>
      <c r="AI35" s="81" t="s">
        <v>362</v>
      </c>
      <c r="AJ35" s="46" t="s">
        <v>141</v>
      </c>
      <c r="AK35" s="47">
        <f t="shared" si="9"/>
        <v>45327</v>
      </c>
      <c r="AL35" s="47">
        <f t="shared" si="10"/>
        <v>45327</v>
      </c>
      <c r="AM35" s="233">
        <f t="shared" si="13"/>
        <v>11</v>
      </c>
      <c r="AN35" s="48" t="s">
        <v>241</v>
      </c>
      <c r="AO35" s="49" t="s">
        <v>242</v>
      </c>
      <c r="AP35" s="50">
        <f t="shared" si="14"/>
        <v>39720034.200000003</v>
      </c>
      <c r="AQ35" s="50">
        <f t="shared" si="11"/>
        <v>39720034.200000003</v>
      </c>
      <c r="AR35" s="48" t="s">
        <v>244</v>
      </c>
      <c r="AS35" s="48" t="s">
        <v>245</v>
      </c>
      <c r="AT35" s="51" t="s">
        <v>246</v>
      </c>
      <c r="AU35" s="52" t="s">
        <v>247</v>
      </c>
      <c r="AV35" s="53" t="str">
        <f>D35</f>
        <v xml:space="preserve">OFICINA DE DESARROLLO Y PLANEACIÓN </v>
      </c>
      <c r="AW35" s="54" t="s">
        <v>248</v>
      </c>
      <c r="AX35" s="55" t="s">
        <v>249</v>
      </c>
      <c r="AY35" s="48" t="s">
        <v>244</v>
      </c>
      <c r="AZ35" s="48" t="s">
        <v>244</v>
      </c>
      <c r="BA35" s="56" t="s">
        <v>250</v>
      </c>
      <c r="BB35" s="57" t="s">
        <v>251</v>
      </c>
      <c r="BC35" s="57" t="s">
        <v>252</v>
      </c>
      <c r="BD35" s="57" t="s">
        <v>250</v>
      </c>
      <c r="BE35" s="57"/>
      <c r="BF35" s="57"/>
    </row>
    <row r="36" spans="1:58" ht="137.25" customHeight="1" x14ac:dyDescent="0.2">
      <c r="A36" s="44" t="s">
        <v>276</v>
      </c>
      <c r="B36" s="45" t="s">
        <v>63</v>
      </c>
      <c r="C36" s="45" t="s">
        <v>65</v>
      </c>
      <c r="D36" s="45" t="s">
        <v>9</v>
      </c>
      <c r="E36" s="45"/>
      <c r="F36" s="45"/>
      <c r="G36" s="45" t="s">
        <v>72</v>
      </c>
      <c r="H36" s="45" t="s">
        <v>473</v>
      </c>
      <c r="I36" s="45"/>
      <c r="J36" s="175">
        <v>1454449.1729803635</v>
      </c>
      <c r="K36" s="172">
        <f t="shared" si="2"/>
        <v>0.10000000000000009</v>
      </c>
      <c r="L36" s="232">
        <f>+J36*1.1</f>
        <v>1599894.0902783999</v>
      </c>
      <c r="M36" s="45">
        <v>1</v>
      </c>
      <c r="N36" s="45" t="s">
        <v>486</v>
      </c>
      <c r="O36" s="59">
        <v>45327</v>
      </c>
      <c r="P36" s="58">
        <v>45646</v>
      </c>
      <c r="Q36" s="59">
        <f>VLOOKUP($A36,[6]Contratistas!$A$3:$R$117,10,0)</f>
        <v>45327</v>
      </c>
      <c r="R36" s="237">
        <f>VLOOKUP($A36,[6]Contratistas!$A$3:$R$117,11,0)</f>
        <v>45646</v>
      </c>
      <c r="S36" s="78">
        <f t="shared" si="3"/>
        <v>17598834.993062399</v>
      </c>
      <c r="T36" s="59"/>
      <c r="U36" s="59"/>
      <c r="V36" s="78">
        <f t="shared" si="4"/>
        <v>0</v>
      </c>
      <c r="W36" s="76">
        <f t="shared" si="5"/>
        <v>11</v>
      </c>
      <c r="X36" s="93">
        <f t="shared" si="6"/>
        <v>17598834.993062399</v>
      </c>
      <c r="Y36" s="93">
        <v>15998940.902783997</v>
      </c>
      <c r="Z36" s="171">
        <f t="shared" si="7"/>
        <v>0.10000000000000009</v>
      </c>
      <c r="AA36" s="135"/>
      <c r="AB36" s="77" t="s">
        <v>11</v>
      </c>
      <c r="AC36" s="80">
        <f t="shared" si="8"/>
        <v>17598834.993062399</v>
      </c>
      <c r="AD36" s="81" t="s">
        <v>243</v>
      </c>
      <c r="AE36" s="82" t="s">
        <v>1</v>
      </c>
      <c r="AF36" s="83" t="s">
        <v>361</v>
      </c>
      <c r="AG36" s="83"/>
      <c r="AH36" s="84" t="str">
        <f t="shared" si="12"/>
        <v>CON-025</v>
      </c>
      <c r="AI36" s="81">
        <v>84111600</v>
      </c>
      <c r="AJ36" s="46" t="s">
        <v>142</v>
      </c>
      <c r="AK36" s="47">
        <f t="shared" si="9"/>
        <v>45327</v>
      </c>
      <c r="AL36" s="47">
        <f t="shared" si="10"/>
        <v>45327</v>
      </c>
      <c r="AM36" s="233">
        <f t="shared" si="13"/>
        <v>11</v>
      </c>
      <c r="AN36" s="48" t="s">
        <v>241</v>
      </c>
      <c r="AO36" s="49" t="s">
        <v>242</v>
      </c>
      <c r="AP36" s="50">
        <f t="shared" si="14"/>
        <v>17598834.993062399</v>
      </c>
      <c r="AQ36" s="50">
        <f t="shared" si="11"/>
        <v>17598834.993062399</v>
      </c>
      <c r="AR36" s="48" t="s">
        <v>244</v>
      </c>
      <c r="AS36" s="48" t="s">
        <v>245</v>
      </c>
      <c r="AT36" s="51" t="s">
        <v>246</v>
      </c>
      <c r="AU36" s="52" t="s">
        <v>247</v>
      </c>
      <c r="AV36" s="53" t="str">
        <f>D36</f>
        <v xml:space="preserve">OFICINA DE DESARROLLO Y PLANEACIÓN </v>
      </c>
      <c r="AW36" s="54" t="s">
        <v>248</v>
      </c>
      <c r="AX36" s="55" t="s">
        <v>249</v>
      </c>
      <c r="AY36" s="48" t="s">
        <v>244</v>
      </c>
      <c r="AZ36" s="48" t="s">
        <v>244</v>
      </c>
      <c r="BA36" s="56" t="s">
        <v>250</v>
      </c>
      <c r="BB36" s="57" t="s">
        <v>251</v>
      </c>
      <c r="BC36" s="57" t="s">
        <v>252</v>
      </c>
      <c r="BD36" s="57" t="s">
        <v>250</v>
      </c>
      <c r="BE36" s="57"/>
      <c r="BF36" s="57"/>
    </row>
    <row r="37" spans="1:58" ht="134.25" customHeight="1" x14ac:dyDescent="0.2">
      <c r="A37" s="44" t="s">
        <v>277</v>
      </c>
      <c r="B37" s="45" t="s">
        <v>63</v>
      </c>
      <c r="C37" s="45" t="s">
        <v>65</v>
      </c>
      <c r="D37" s="45" t="s">
        <v>136</v>
      </c>
      <c r="E37" s="45"/>
      <c r="F37" s="45" t="s">
        <v>383</v>
      </c>
      <c r="G37" s="45" t="s">
        <v>374</v>
      </c>
      <c r="H37" s="45" t="s">
        <v>67</v>
      </c>
      <c r="I37" s="45">
        <v>4</v>
      </c>
      <c r="J37" s="75">
        <v>5500000</v>
      </c>
      <c r="K37" s="172">
        <f t="shared" si="2"/>
        <v>3.6363636363636376E-2</v>
      </c>
      <c r="L37" s="166">
        <f>IF(H37="OTRO",(J37*1.05),VLOOKUP((I37&amp;H37),'ESCALAS Salarios'!$D$2:$F$30,3,0))</f>
        <v>5700000</v>
      </c>
      <c r="M37" s="45">
        <v>1</v>
      </c>
      <c r="N37" s="45" t="s">
        <v>485</v>
      </c>
      <c r="O37" s="59">
        <v>45334</v>
      </c>
      <c r="P37" s="58">
        <v>45639</v>
      </c>
      <c r="Q37" s="59">
        <f>VLOOKUP($A37,[6]Contratistas!$A$3:$R$117,10,0)</f>
        <v>45334</v>
      </c>
      <c r="R37" s="237">
        <f>VLOOKUP($A37,[6]Contratistas!$A$3:$R$117,11,0)</f>
        <v>45639</v>
      </c>
      <c r="S37" s="78">
        <f t="shared" si="3"/>
        <v>57950000</v>
      </c>
      <c r="T37" s="59"/>
      <c r="U37" s="59"/>
      <c r="V37" s="78">
        <f t="shared" si="4"/>
        <v>0</v>
      </c>
      <c r="W37" s="76">
        <f t="shared" si="5"/>
        <v>10</v>
      </c>
      <c r="X37" s="93">
        <f t="shared" si="6"/>
        <v>57950000</v>
      </c>
      <c r="Y37" s="93">
        <v>55000000</v>
      </c>
      <c r="Z37" s="171">
        <f t="shared" si="7"/>
        <v>5.3636363636363704E-2</v>
      </c>
      <c r="AA37" s="133">
        <v>1018411262</v>
      </c>
      <c r="AB37" s="134" t="s">
        <v>408</v>
      </c>
      <c r="AC37" s="80">
        <f t="shared" si="8"/>
        <v>57950000</v>
      </c>
      <c r="AD37" s="81" t="s">
        <v>243</v>
      </c>
      <c r="AE37" s="82" t="s">
        <v>1</v>
      </c>
      <c r="AF37" s="83" t="s">
        <v>361</v>
      </c>
      <c r="AG37" s="83"/>
      <c r="AH37" s="84" t="str">
        <f t="shared" si="12"/>
        <v>CON-026</v>
      </c>
      <c r="AI37" s="81">
        <v>80111600</v>
      </c>
      <c r="AJ37" s="46" t="s">
        <v>139</v>
      </c>
      <c r="AK37" s="47">
        <f t="shared" si="9"/>
        <v>45334</v>
      </c>
      <c r="AL37" s="47">
        <f t="shared" si="10"/>
        <v>45334</v>
      </c>
      <c r="AM37" s="233">
        <f t="shared" si="13"/>
        <v>10</v>
      </c>
      <c r="AN37" s="48" t="s">
        <v>241</v>
      </c>
      <c r="AO37" s="49" t="s">
        <v>242</v>
      </c>
      <c r="AP37" s="50">
        <f t="shared" si="14"/>
        <v>57950000</v>
      </c>
      <c r="AQ37" s="50">
        <f t="shared" si="11"/>
        <v>57950000</v>
      </c>
      <c r="AR37" s="48" t="s">
        <v>244</v>
      </c>
      <c r="AS37" s="48" t="s">
        <v>245</v>
      </c>
      <c r="AT37" s="51" t="s">
        <v>246</v>
      </c>
      <c r="AU37" s="52" t="s">
        <v>247</v>
      </c>
      <c r="AV37" s="53" t="str">
        <f>D37</f>
        <v>ORI</v>
      </c>
      <c r="AW37" s="54" t="s">
        <v>248</v>
      </c>
      <c r="AX37" s="55" t="s">
        <v>249</v>
      </c>
      <c r="AY37" s="48" t="s">
        <v>244</v>
      </c>
      <c r="AZ37" s="48" t="s">
        <v>244</v>
      </c>
      <c r="BA37" s="56" t="s">
        <v>250</v>
      </c>
      <c r="BB37" s="57" t="s">
        <v>251</v>
      </c>
      <c r="BC37" s="57" t="s">
        <v>252</v>
      </c>
      <c r="BD37" s="57" t="s">
        <v>250</v>
      </c>
      <c r="BE37" s="57"/>
      <c r="BF37" s="57"/>
    </row>
    <row r="38" spans="1:58" ht="134.25" customHeight="1" x14ac:dyDescent="0.2">
      <c r="A38" s="44" t="s">
        <v>278</v>
      </c>
      <c r="B38" s="45" t="s">
        <v>63</v>
      </c>
      <c r="C38" s="45" t="s">
        <v>65</v>
      </c>
      <c r="D38" s="45" t="s">
        <v>12</v>
      </c>
      <c r="E38" s="45"/>
      <c r="F38" s="45" t="s">
        <v>383</v>
      </c>
      <c r="G38" s="45" t="s">
        <v>374</v>
      </c>
      <c r="H38" s="45" t="s">
        <v>69</v>
      </c>
      <c r="I38" s="45">
        <v>6</v>
      </c>
      <c r="J38" s="75">
        <v>4200000</v>
      </c>
      <c r="K38" s="172">
        <f t="shared" si="2"/>
        <v>4.7619047619047672E-2</v>
      </c>
      <c r="L38" s="166">
        <f>IF(H38="OTRO",(J38*1.05),VLOOKUP((I38&amp;H38),'ESCALAS Salarios'!$D$2:$F$30,3,0))</f>
        <v>4400000</v>
      </c>
      <c r="M38" s="45">
        <v>1</v>
      </c>
      <c r="N38" s="45" t="s">
        <v>485</v>
      </c>
      <c r="O38" s="59">
        <v>45327</v>
      </c>
      <c r="P38" s="58">
        <v>45646</v>
      </c>
      <c r="Q38" s="59">
        <f>VLOOKUP($A38,[6]Contratistas!$A$3:$R$117,10,0)</f>
        <v>45327</v>
      </c>
      <c r="R38" s="237">
        <f>VLOOKUP($A38,[6]Contratistas!$A$3:$R$117,11,0)</f>
        <v>45646</v>
      </c>
      <c r="S38" s="78">
        <f t="shared" si="3"/>
        <v>46786666.666666664</v>
      </c>
      <c r="T38" s="59"/>
      <c r="U38" s="59"/>
      <c r="V38" s="78">
        <f t="shared" si="4"/>
        <v>0</v>
      </c>
      <c r="W38" s="76">
        <f t="shared" si="5"/>
        <v>11</v>
      </c>
      <c r="X38" s="93">
        <f t="shared" si="6"/>
        <v>46786666.666666664</v>
      </c>
      <c r="Y38" s="93">
        <v>42000000</v>
      </c>
      <c r="Z38" s="171">
        <f t="shared" si="7"/>
        <v>0.11396825396825383</v>
      </c>
      <c r="AA38" s="133">
        <v>52312543</v>
      </c>
      <c r="AB38" s="134" t="s">
        <v>409</v>
      </c>
      <c r="AC38" s="80">
        <f t="shared" si="8"/>
        <v>46786666.666666664</v>
      </c>
      <c r="AD38" s="81" t="s">
        <v>243</v>
      </c>
      <c r="AE38" s="82" t="s">
        <v>1</v>
      </c>
      <c r="AF38" s="83" t="s">
        <v>361</v>
      </c>
      <c r="AG38" s="83"/>
      <c r="AH38" s="84" t="str">
        <f t="shared" si="12"/>
        <v>CON-027</v>
      </c>
      <c r="AI38" s="81">
        <v>80111600</v>
      </c>
      <c r="AJ38" s="46" t="s">
        <v>153</v>
      </c>
      <c r="AK38" s="47">
        <f t="shared" si="9"/>
        <v>45327</v>
      </c>
      <c r="AL38" s="47">
        <f t="shared" si="10"/>
        <v>45327</v>
      </c>
      <c r="AM38" s="233">
        <f t="shared" si="13"/>
        <v>11</v>
      </c>
      <c r="AN38" s="48" t="s">
        <v>241</v>
      </c>
      <c r="AO38" s="49" t="s">
        <v>242</v>
      </c>
      <c r="AP38" s="50">
        <f t="shared" si="14"/>
        <v>46786666.666666664</v>
      </c>
      <c r="AQ38" s="50">
        <f t="shared" si="11"/>
        <v>46786666.666666664</v>
      </c>
      <c r="AR38" s="48" t="s">
        <v>244</v>
      </c>
      <c r="AS38" s="48" t="s">
        <v>245</v>
      </c>
      <c r="AT38" s="51" t="s">
        <v>246</v>
      </c>
      <c r="AU38" s="52" t="s">
        <v>247</v>
      </c>
      <c r="AV38" s="53" t="str">
        <f>D38</f>
        <v>ASEGURAMIENTO DE LA CALIDAD</v>
      </c>
      <c r="AW38" s="54" t="s">
        <v>248</v>
      </c>
      <c r="AX38" s="55" t="s">
        <v>249</v>
      </c>
      <c r="AY38" s="48" t="s">
        <v>244</v>
      </c>
      <c r="AZ38" s="48" t="s">
        <v>244</v>
      </c>
      <c r="BA38" s="56" t="s">
        <v>250</v>
      </c>
      <c r="BB38" s="57" t="s">
        <v>251</v>
      </c>
      <c r="BC38" s="57" t="s">
        <v>252</v>
      </c>
      <c r="BD38" s="57" t="s">
        <v>250</v>
      </c>
      <c r="BE38" s="57"/>
      <c r="BF38" s="57"/>
    </row>
    <row r="39" spans="1:58" ht="106.5" customHeight="1" x14ac:dyDescent="0.2">
      <c r="A39" s="44" t="s">
        <v>279</v>
      </c>
      <c r="B39" s="45" t="s">
        <v>63</v>
      </c>
      <c r="C39" s="45" t="s">
        <v>13</v>
      </c>
      <c r="D39" s="45" t="s">
        <v>74</v>
      </c>
      <c r="E39" s="45"/>
      <c r="F39" s="45" t="s">
        <v>383</v>
      </c>
      <c r="G39" s="45" t="s">
        <v>374</v>
      </c>
      <c r="H39" s="45" t="s">
        <v>69</v>
      </c>
      <c r="I39" s="45">
        <v>6</v>
      </c>
      <c r="J39" s="75">
        <v>4200000</v>
      </c>
      <c r="K39" s="172">
        <f t="shared" si="2"/>
        <v>4.7619047619047672E-2</v>
      </c>
      <c r="L39" s="166">
        <f>IF(H39="OTRO",(J39*1.05),VLOOKUP((I39&amp;H39),'ESCALAS Salarios'!$D$2:$F$30,3,0))</f>
        <v>4400000</v>
      </c>
      <c r="M39" s="45">
        <v>1</v>
      </c>
      <c r="N39" s="45" t="s">
        <v>485</v>
      </c>
      <c r="O39" s="59">
        <v>45327</v>
      </c>
      <c r="P39" s="58">
        <v>45626</v>
      </c>
      <c r="Q39" s="59">
        <f>VLOOKUP($A39,[6]Contratistas!$A$3:$R$117,10,0)</f>
        <v>45327</v>
      </c>
      <c r="R39" s="237">
        <f>VLOOKUP($A39,[6]Contratistas!$A$3:$R$117,11,0)</f>
        <v>45626</v>
      </c>
      <c r="S39" s="78">
        <f t="shared" si="3"/>
        <v>43853333.333333336</v>
      </c>
      <c r="T39" s="59"/>
      <c r="U39" s="59"/>
      <c r="V39" s="78">
        <f t="shared" si="4"/>
        <v>0</v>
      </c>
      <c r="W39" s="76">
        <f t="shared" si="5"/>
        <v>10</v>
      </c>
      <c r="X39" s="93">
        <f t="shared" si="6"/>
        <v>43853333.333333336</v>
      </c>
      <c r="Y39" s="93">
        <v>55000000</v>
      </c>
      <c r="Z39" s="171">
        <f t="shared" si="7"/>
        <v>-0.20266666666666666</v>
      </c>
      <c r="AA39" s="133">
        <v>1022374467</v>
      </c>
      <c r="AB39" s="134" t="s">
        <v>410</v>
      </c>
      <c r="AC39" s="80">
        <f t="shared" si="8"/>
        <v>43853333.333333336</v>
      </c>
      <c r="AD39" s="81" t="s">
        <v>243</v>
      </c>
      <c r="AE39" s="82" t="s">
        <v>1</v>
      </c>
      <c r="AF39" s="83" t="s">
        <v>361</v>
      </c>
      <c r="AG39" s="83"/>
      <c r="AH39" s="84" t="str">
        <f t="shared" si="12"/>
        <v>CON-028</v>
      </c>
      <c r="AI39" s="81">
        <v>80111600</v>
      </c>
      <c r="AJ39" s="46" t="s">
        <v>270</v>
      </c>
      <c r="AK39" s="47">
        <f t="shared" si="9"/>
        <v>45327</v>
      </c>
      <c r="AL39" s="47">
        <f t="shared" si="10"/>
        <v>45327</v>
      </c>
      <c r="AM39" s="233">
        <f t="shared" si="13"/>
        <v>10</v>
      </c>
      <c r="AN39" s="48" t="s">
        <v>241</v>
      </c>
      <c r="AO39" s="49" t="s">
        <v>242</v>
      </c>
      <c r="AP39" s="50">
        <f t="shared" si="14"/>
        <v>43853333.333333336</v>
      </c>
      <c r="AQ39" s="50">
        <f t="shared" si="11"/>
        <v>43853333.333333336</v>
      </c>
      <c r="AR39" s="48" t="s">
        <v>244</v>
      </c>
      <c r="AS39" s="48" t="s">
        <v>245</v>
      </c>
      <c r="AT39" s="51" t="s">
        <v>246</v>
      </c>
      <c r="AU39" s="52" t="s">
        <v>247</v>
      </c>
      <c r="AV39" s="53" t="str">
        <f t="shared" ref="AV39:AV102" si="16">D39</f>
        <v>DESPACHO VAC</v>
      </c>
      <c r="AW39" s="54" t="s">
        <v>248</v>
      </c>
      <c r="AX39" s="55" t="s">
        <v>249</v>
      </c>
      <c r="AY39" s="48" t="s">
        <v>244</v>
      </c>
      <c r="AZ39" s="48" t="s">
        <v>244</v>
      </c>
      <c r="BA39" s="56" t="s">
        <v>250</v>
      </c>
      <c r="BB39" s="57" t="s">
        <v>251</v>
      </c>
      <c r="BC39" s="57" t="s">
        <v>252</v>
      </c>
      <c r="BD39" s="57" t="s">
        <v>250</v>
      </c>
      <c r="BE39" s="57"/>
      <c r="BF39" s="57"/>
    </row>
    <row r="40" spans="1:58" ht="74.25" customHeight="1" x14ac:dyDescent="0.2">
      <c r="A40" s="44" t="s">
        <v>280</v>
      </c>
      <c r="B40" s="45" t="s">
        <v>63</v>
      </c>
      <c r="C40" s="45" t="s">
        <v>13</v>
      </c>
      <c r="D40" s="45" t="s">
        <v>74</v>
      </c>
      <c r="E40" s="45"/>
      <c r="F40" s="45" t="s">
        <v>383</v>
      </c>
      <c r="G40" s="45" t="s">
        <v>374</v>
      </c>
      <c r="H40" s="45" t="s">
        <v>67</v>
      </c>
      <c r="I40" s="45">
        <v>4</v>
      </c>
      <c r="J40" s="75">
        <v>5500000</v>
      </c>
      <c r="K40" s="172">
        <f t="shared" si="2"/>
        <v>3.6363636363636376E-2</v>
      </c>
      <c r="L40" s="166">
        <f>IF(H40="OTRO",(J40*1.05),VLOOKUP((I40&amp;H40),'ESCALAS Salarios'!$D$2:$F$30,3,0))</f>
        <v>5700000</v>
      </c>
      <c r="M40" s="45">
        <v>1</v>
      </c>
      <c r="N40" s="45" t="s">
        <v>485</v>
      </c>
      <c r="O40" s="59">
        <v>45327</v>
      </c>
      <c r="P40" s="58">
        <v>45639</v>
      </c>
      <c r="Q40" s="59">
        <f>VLOOKUP($A40,[6]Contratistas!$A$3:$R$117,10,0)</f>
        <v>45327</v>
      </c>
      <c r="R40" s="237">
        <f>VLOOKUP($A40,[6]Contratistas!$A$3:$R$117,11,0)</f>
        <v>45639</v>
      </c>
      <c r="S40" s="78">
        <f t="shared" si="3"/>
        <v>59280000</v>
      </c>
      <c r="T40" s="59"/>
      <c r="U40" s="59"/>
      <c r="V40" s="78">
        <f t="shared" si="4"/>
        <v>0</v>
      </c>
      <c r="W40" s="76">
        <f t="shared" si="5"/>
        <v>10</v>
      </c>
      <c r="X40" s="93">
        <f t="shared" si="6"/>
        <v>59280000</v>
      </c>
      <c r="Y40" s="93">
        <v>42000000</v>
      </c>
      <c r="Z40" s="171">
        <f t="shared" si="7"/>
        <v>0.41142857142857148</v>
      </c>
      <c r="AA40" s="133">
        <v>21066255</v>
      </c>
      <c r="AB40" s="134" t="s">
        <v>411</v>
      </c>
      <c r="AC40" s="80">
        <f t="shared" si="8"/>
        <v>59280000</v>
      </c>
      <c r="AD40" s="81" t="s">
        <v>243</v>
      </c>
      <c r="AE40" s="85" t="s">
        <v>1</v>
      </c>
      <c r="AF40" s="83" t="s">
        <v>361</v>
      </c>
      <c r="AG40" s="83"/>
      <c r="AH40" s="84" t="str">
        <f t="shared" si="12"/>
        <v>CON-029</v>
      </c>
      <c r="AI40" s="81">
        <v>80111600</v>
      </c>
      <c r="AJ40" s="46" t="s">
        <v>154</v>
      </c>
      <c r="AK40" s="47">
        <f t="shared" si="9"/>
        <v>45327</v>
      </c>
      <c r="AL40" s="47">
        <f t="shared" si="10"/>
        <v>45327</v>
      </c>
      <c r="AM40" s="233">
        <f t="shared" si="13"/>
        <v>10</v>
      </c>
      <c r="AN40" s="48" t="s">
        <v>241</v>
      </c>
      <c r="AO40" s="49" t="s">
        <v>242</v>
      </c>
      <c r="AP40" s="50">
        <f t="shared" si="14"/>
        <v>59280000</v>
      </c>
      <c r="AQ40" s="50">
        <f t="shared" si="11"/>
        <v>59280000</v>
      </c>
      <c r="AR40" s="48" t="s">
        <v>244</v>
      </c>
      <c r="AS40" s="48" t="s">
        <v>245</v>
      </c>
      <c r="AT40" s="51" t="s">
        <v>246</v>
      </c>
      <c r="AU40" s="52" t="s">
        <v>247</v>
      </c>
      <c r="AV40" s="53" t="str">
        <f t="shared" si="16"/>
        <v>DESPACHO VAC</v>
      </c>
      <c r="AW40" s="54" t="s">
        <v>248</v>
      </c>
      <c r="AX40" s="55" t="s">
        <v>249</v>
      </c>
      <c r="AY40" s="48" t="s">
        <v>244</v>
      </c>
      <c r="AZ40" s="48" t="s">
        <v>244</v>
      </c>
      <c r="BA40" s="56" t="s">
        <v>250</v>
      </c>
      <c r="BB40" s="57" t="s">
        <v>251</v>
      </c>
      <c r="BC40" s="57" t="s">
        <v>252</v>
      </c>
      <c r="BD40" s="57" t="s">
        <v>250</v>
      </c>
      <c r="BE40" s="57"/>
      <c r="BF40" s="57"/>
    </row>
    <row r="41" spans="1:58" ht="96.75" customHeight="1" x14ac:dyDescent="0.2">
      <c r="A41" s="44" t="s">
        <v>281</v>
      </c>
      <c r="B41" s="45" t="s">
        <v>63</v>
      </c>
      <c r="C41" s="45" t="s">
        <v>13</v>
      </c>
      <c r="D41" s="45" t="s">
        <v>74</v>
      </c>
      <c r="E41" s="45" t="s">
        <v>93</v>
      </c>
      <c r="F41" s="45" t="s">
        <v>383</v>
      </c>
      <c r="G41" s="45" t="s">
        <v>374</v>
      </c>
      <c r="H41" s="45" t="s">
        <v>69</v>
      </c>
      <c r="I41" s="45">
        <v>6</v>
      </c>
      <c r="J41" s="75">
        <v>4200000</v>
      </c>
      <c r="K41" s="172">
        <f t="shared" si="2"/>
        <v>4.7619047619047672E-2</v>
      </c>
      <c r="L41" s="166">
        <f>IF(H41="OTRO",(J41*1.05),VLOOKUP((I41&amp;H41),'ESCALAS Salarios'!$D$2:$F$30,3,0))</f>
        <v>4400000</v>
      </c>
      <c r="M41" s="45">
        <v>1</v>
      </c>
      <c r="N41" s="45" t="s">
        <v>485</v>
      </c>
      <c r="O41" s="59">
        <v>45327</v>
      </c>
      <c r="P41" s="58">
        <v>45632</v>
      </c>
      <c r="Q41" s="59">
        <f>VLOOKUP($A41,[6]Contratistas!$A$3:$R$117,10,0)</f>
        <v>45327</v>
      </c>
      <c r="R41" s="237">
        <f>VLOOKUP($A41,[6]Contratistas!$A$3:$R$117,11,0)</f>
        <v>45632</v>
      </c>
      <c r="S41" s="78">
        <f t="shared" si="3"/>
        <v>44733333.333333328</v>
      </c>
      <c r="T41" s="59"/>
      <c r="U41" s="59"/>
      <c r="V41" s="78">
        <f t="shared" si="4"/>
        <v>0</v>
      </c>
      <c r="W41" s="76">
        <f t="shared" si="5"/>
        <v>10</v>
      </c>
      <c r="X41" s="93">
        <f t="shared" si="6"/>
        <v>44733333.333333328</v>
      </c>
      <c r="Y41" s="93">
        <v>42000000</v>
      </c>
      <c r="Z41" s="171">
        <f t="shared" si="7"/>
        <v>6.507936507936507E-2</v>
      </c>
      <c r="AA41" s="133">
        <v>1020734290</v>
      </c>
      <c r="AB41" s="134" t="s">
        <v>14</v>
      </c>
      <c r="AC41" s="80">
        <f t="shared" si="8"/>
        <v>44733333.333333328</v>
      </c>
      <c r="AD41" s="81" t="s">
        <v>243</v>
      </c>
      <c r="AE41" s="82" t="s">
        <v>1</v>
      </c>
      <c r="AF41" s="83" t="s">
        <v>361</v>
      </c>
      <c r="AG41" s="83"/>
      <c r="AH41" s="84" t="str">
        <f t="shared" si="12"/>
        <v>CON-030</v>
      </c>
      <c r="AI41" s="81">
        <v>80111600</v>
      </c>
      <c r="AJ41" s="46" t="s">
        <v>155</v>
      </c>
      <c r="AK41" s="47">
        <f t="shared" si="9"/>
        <v>45327</v>
      </c>
      <c r="AL41" s="47">
        <f t="shared" si="10"/>
        <v>45327</v>
      </c>
      <c r="AM41" s="233">
        <f t="shared" si="13"/>
        <v>10</v>
      </c>
      <c r="AN41" s="48" t="s">
        <v>241</v>
      </c>
      <c r="AO41" s="49" t="s">
        <v>242</v>
      </c>
      <c r="AP41" s="50">
        <f t="shared" si="14"/>
        <v>44733333.333333328</v>
      </c>
      <c r="AQ41" s="50">
        <f t="shared" si="11"/>
        <v>44733333.333333328</v>
      </c>
      <c r="AR41" s="48" t="s">
        <v>244</v>
      </c>
      <c r="AS41" s="48" t="s">
        <v>245</v>
      </c>
      <c r="AT41" s="51" t="s">
        <v>246</v>
      </c>
      <c r="AU41" s="52" t="s">
        <v>247</v>
      </c>
      <c r="AV41" s="53" t="str">
        <f t="shared" si="16"/>
        <v>DESPACHO VAC</v>
      </c>
      <c r="AW41" s="54" t="s">
        <v>248</v>
      </c>
      <c r="AX41" s="55" t="s">
        <v>249</v>
      </c>
      <c r="AY41" s="48" t="s">
        <v>244</v>
      </c>
      <c r="AZ41" s="48" t="s">
        <v>244</v>
      </c>
      <c r="BA41" s="56" t="s">
        <v>250</v>
      </c>
      <c r="BB41" s="57" t="s">
        <v>251</v>
      </c>
      <c r="BC41" s="57" t="s">
        <v>252</v>
      </c>
      <c r="BD41" s="57" t="s">
        <v>250</v>
      </c>
      <c r="BE41" s="57"/>
      <c r="BF41" s="57"/>
    </row>
    <row r="42" spans="1:58" ht="63.75" customHeight="1" x14ac:dyDescent="0.2">
      <c r="A42" s="44" t="s">
        <v>282</v>
      </c>
      <c r="B42" s="45" t="s">
        <v>63</v>
      </c>
      <c r="C42" s="45" t="s">
        <v>13</v>
      </c>
      <c r="D42" s="45" t="s">
        <v>74</v>
      </c>
      <c r="E42" s="45" t="s">
        <v>93</v>
      </c>
      <c r="F42" s="45" t="s">
        <v>383</v>
      </c>
      <c r="G42" s="45" t="s">
        <v>374</v>
      </c>
      <c r="H42" s="45" t="s">
        <v>69</v>
      </c>
      <c r="I42" s="45">
        <v>6</v>
      </c>
      <c r="J42" s="75">
        <v>4200000</v>
      </c>
      <c r="K42" s="172">
        <f t="shared" si="2"/>
        <v>4.7619047619047672E-2</v>
      </c>
      <c r="L42" s="166">
        <f>IF(H42="OTRO",(J42*1.05),VLOOKUP((I42&amp;H42),'ESCALAS Salarios'!$D$2:$F$30,3,0))</f>
        <v>4400000</v>
      </c>
      <c r="M42" s="45">
        <v>1</v>
      </c>
      <c r="N42" s="45" t="s">
        <v>485</v>
      </c>
      <c r="O42" s="59">
        <v>45327</v>
      </c>
      <c r="P42" s="58">
        <v>45632</v>
      </c>
      <c r="Q42" s="59">
        <f>VLOOKUP($A42,[6]Contratistas!$A$3:$R$117,10,0)</f>
        <v>45327</v>
      </c>
      <c r="R42" s="237">
        <f>VLOOKUP($A42,[6]Contratistas!$A$3:$R$117,11,0)</f>
        <v>45632</v>
      </c>
      <c r="S42" s="78">
        <f t="shared" si="3"/>
        <v>44733333.333333328</v>
      </c>
      <c r="T42" s="59"/>
      <c r="U42" s="59"/>
      <c r="V42" s="78">
        <f t="shared" si="4"/>
        <v>0</v>
      </c>
      <c r="W42" s="76">
        <f t="shared" si="5"/>
        <v>10</v>
      </c>
      <c r="X42" s="93">
        <f t="shared" si="6"/>
        <v>44733333.333333328</v>
      </c>
      <c r="Y42" s="93">
        <v>42700000</v>
      </c>
      <c r="Z42" s="171">
        <f t="shared" si="7"/>
        <v>4.761904761904745E-2</v>
      </c>
      <c r="AA42" s="133">
        <v>1032465025</v>
      </c>
      <c r="AB42" s="176" t="s">
        <v>496</v>
      </c>
      <c r="AC42" s="80">
        <f t="shared" si="8"/>
        <v>44733333.333333328</v>
      </c>
      <c r="AD42" s="81" t="s">
        <v>243</v>
      </c>
      <c r="AE42" s="82" t="s">
        <v>1</v>
      </c>
      <c r="AF42" s="83" t="s">
        <v>361</v>
      </c>
      <c r="AG42" s="83"/>
      <c r="AH42" s="84" t="str">
        <f t="shared" si="12"/>
        <v>CON-031</v>
      </c>
      <c r="AI42" s="81">
        <v>80111600</v>
      </c>
      <c r="AJ42" s="46" t="s">
        <v>156</v>
      </c>
      <c r="AK42" s="47">
        <f t="shared" si="9"/>
        <v>45327</v>
      </c>
      <c r="AL42" s="47">
        <f t="shared" si="10"/>
        <v>45327</v>
      </c>
      <c r="AM42" s="233">
        <f t="shared" si="13"/>
        <v>10</v>
      </c>
      <c r="AN42" s="48" t="s">
        <v>241</v>
      </c>
      <c r="AO42" s="49" t="s">
        <v>242</v>
      </c>
      <c r="AP42" s="50">
        <f t="shared" si="14"/>
        <v>44733333.333333328</v>
      </c>
      <c r="AQ42" s="50">
        <f t="shared" si="11"/>
        <v>44733333.333333328</v>
      </c>
      <c r="AR42" s="48" t="s">
        <v>244</v>
      </c>
      <c r="AS42" s="48" t="s">
        <v>245</v>
      </c>
      <c r="AT42" s="51" t="s">
        <v>246</v>
      </c>
      <c r="AU42" s="52" t="s">
        <v>247</v>
      </c>
      <c r="AV42" s="53" t="str">
        <f t="shared" si="16"/>
        <v>DESPACHO VAC</v>
      </c>
      <c r="AW42" s="54" t="s">
        <v>248</v>
      </c>
      <c r="AX42" s="55" t="s">
        <v>249</v>
      </c>
      <c r="AY42" s="48" t="s">
        <v>244</v>
      </c>
      <c r="AZ42" s="48" t="s">
        <v>244</v>
      </c>
      <c r="BA42" s="56" t="s">
        <v>250</v>
      </c>
      <c r="BB42" s="57" t="s">
        <v>251</v>
      </c>
      <c r="BC42" s="57" t="s">
        <v>252</v>
      </c>
      <c r="BD42" s="57" t="s">
        <v>250</v>
      </c>
      <c r="BE42" s="57"/>
      <c r="BF42" s="57"/>
    </row>
    <row r="43" spans="1:58" ht="76.5" customHeight="1" x14ac:dyDescent="0.2">
      <c r="A43" s="44" t="s">
        <v>283</v>
      </c>
      <c r="B43" s="45" t="s">
        <v>63</v>
      </c>
      <c r="C43" s="45" t="s">
        <v>13</v>
      </c>
      <c r="D43" s="45" t="s">
        <v>74</v>
      </c>
      <c r="E43" s="45" t="s">
        <v>93</v>
      </c>
      <c r="F43" s="45" t="s">
        <v>383</v>
      </c>
      <c r="G43" s="45" t="s">
        <v>374</v>
      </c>
      <c r="H43" s="45" t="s">
        <v>69</v>
      </c>
      <c r="I43" s="45">
        <v>6</v>
      </c>
      <c r="J43" s="75">
        <v>4200000</v>
      </c>
      <c r="K43" s="172">
        <f t="shared" si="2"/>
        <v>4.7619047619047672E-2</v>
      </c>
      <c r="L43" s="166">
        <f>IF(H43="OTRO",(J43*1.05),VLOOKUP((I43&amp;H43),'ESCALAS Salarios'!$D$2:$F$30,3,0))</f>
        <v>4400000</v>
      </c>
      <c r="M43" s="45">
        <v>1</v>
      </c>
      <c r="N43" s="45" t="s">
        <v>485</v>
      </c>
      <c r="O43" s="59">
        <v>45327</v>
      </c>
      <c r="P43" s="58">
        <v>45632</v>
      </c>
      <c r="Q43" s="59">
        <f>VLOOKUP($A43,[6]Contratistas!$A$3:$R$117,10,0)</f>
        <v>45327</v>
      </c>
      <c r="R43" s="237">
        <f>VLOOKUP($A43,[6]Contratistas!$A$3:$R$117,11,0)</f>
        <v>45632</v>
      </c>
      <c r="S43" s="78">
        <f t="shared" si="3"/>
        <v>44733333.333333328</v>
      </c>
      <c r="T43" s="59"/>
      <c r="U43" s="59"/>
      <c r="V43" s="78">
        <f t="shared" si="4"/>
        <v>0</v>
      </c>
      <c r="W43" s="76">
        <f t="shared" si="5"/>
        <v>10</v>
      </c>
      <c r="X43" s="93">
        <f t="shared" si="6"/>
        <v>44733333.333333328</v>
      </c>
      <c r="Y43" s="93">
        <v>42700000</v>
      </c>
      <c r="Z43" s="171">
        <f t="shared" si="7"/>
        <v>4.761904761904745E-2</v>
      </c>
      <c r="AA43" s="3">
        <v>1017175193</v>
      </c>
      <c r="AB43" s="134" t="s">
        <v>412</v>
      </c>
      <c r="AC43" s="80">
        <f t="shared" si="8"/>
        <v>44733333.333333328</v>
      </c>
      <c r="AD43" s="81" t="s">
        <v>243</v>
      </c>
      <c r="AE43" s="82" t="s">
        <v>1</v>
      </c>
      <c r="AF43" s="83" t="s">
        <v>361</v>
      </c>
      <c r="AG43" s="83"/>
      <c r="AH43" s="84" t="str">
        <f t="shared" si="12"/>
        <v>CON-032</v>
      </c>
      <c r="AI43" s="81">
        <v>80111600</v>
      </c>
      <c r="AJ43" s="46" t="s">
        <v>157</v>
      </c>
      <c r="AK43" s="47">
        <f t="shared" si="9"/>
        <v>45327</v>
      </c>
      <c r="AL43" s="47">
        <f t="shared" si="10"/>
        <v>45327</v>
      </c>
      <c r="AM43" s="233">
        <f t="shared" si="13"/>
        <v>10</v>
      </c>
      <c r="AN43" s="48" t="s">
        <v>241</v>
      </c>
      <c r="AO43" s="49" t="s">
        <v>242</v>
      </c>
      <c r="AP43" s="50">
        <f t="shared" si="14"/>
        <v>44733333.333333328</v>
      </c>
      <c r="AQ43" s="50">
        <f t="shared" si="11"/>
        <v>44733333.333333328</v>
      </c>
      <c r="AR43" s="48" t="s">
        <v>244</v>
      </c>
      <c r="AS43" s="48" t="s">
        <v>245</v>
      </c>
      <c r="AT43" s="51" t="s">
        <v>246</v>
      </c>
      <c r="AU43" s="52" t="s">
        <v>247</v>
      </c>
      <c r="AV43" s="53" t="str">
        <f t="shared" si="16"/>
        <v>DESPACHO VAC</v>
      </c>
      <c r="AW43" s="54" t="s">
        <v>248</v>
      </c>
      <c r="AX43" s="55" t="s">
        <v>249</v>
      </c>
      <c r="AY43" s="48" t="s">
        <v>244</v>
      </c>
      <c r="AZ43" s="48" t="s">
        <v>244</v>
      </c>
      <c r="BA43" s="56" t="s">
        <v>250</v>
      </c>
      <c r="BB43" s="57" t="s">
        <v>251</v>
      </c>
      <c r="BC43" s="57" t="s">
        <v>252</v>
      </c>
      <c r="BD43" s="57" t="s">
        <v>250</v>
      </c>
      <c r="BE43" s="57"/>
      <c r="BF43" s="57"/>
    </row>
    <row r="44" spans="1:58" ht="58.5" customHeight="1" x14ac:dyDescent="0.2">
      <c r="A44" s="44" t="s">
        <v>284</v>
      </c>
      <c r="B44" s="45" t="s">
        <v>63</v>
      </c>
      <c r="C44" s="45" t="s">
        <v>13</v>
      </c>
      <c r="D44" s="45" t="s">
        <v>74</v>
      </c>
      <c r="E44" s="45"/>
      <c r="F44" s="45" t="s">
        <v>480</v>
      </c>
      <c r="G44" s="45" t="s">
        <v>374</v>
      </c>
      <c r="H44" s="45" t="s">
        <v>70</v>
      </c>
      <c r="I44" s="45">
        <v>1</v>
      </c>
      <c r="J44" s="75">
        <v>2200000</v>
      </c>
      <c r="K44" s="172">
        <f t="shared" si="2"/>
        <v>4.5454545454545414E-2</v>
      </c>
      <c r="L44" s="166">
        <f>IF(H44="OTRO",(J44*1.05),VLOOKUP((I44&amp;H44),'ESCALAS Salarios'!$D$2:$F$30,3,0))</f>
        <v>2300000</v>
      </c>
      <c r="M44" s="45">
        <v>1</v>
      </c>
      <c r="N44" s="45" t="s">
        <v>485</v>
      </c>
      <c r="O44" s="59">
        <v>45327</v>
      </c>
      <c r="P44" s="58">
        <v>45641</v>
      </c>
      <c r="Q44" s="59">
        <f>VLOOKUP($A44,[6]Contratistas!$A$3:$R$117,10,0)</f>
        <v>45327</v>
      </c>
      <c r="R44" s="237">
        <f>VLOOKUP($A44,[6]Contratistas!$A$3:$R$117,11,0)</f>
        <v>45641</v>
      </c>
      <c r="S44" s="78">
        <f t="shared" si="3"/>
        <v>24073333.333333332</v>
      </c>
      <c r="T44" s="59"/>
      <c r="U44" s="59"/>
      <c r="V44" s="78">
        <f t="shared" si="4"/>
        <v>0</v>
      </c>
      <c r="W44" s="76">
        <f t="shared" si="5"/>
        <v>10</v>
      </c>
      <c r="X44" s="93">
        <f t="shared" si="6"/>
        <v>24073333.333333332</v>
      </c>
      <c r="Y44" s="93">
        <v>23246666.666666668</v>
      </c>
      <c r="Z44" s="171">
        <f t="shared" si="7"/>
        <v>3.5560653857183766E-2</v>
      </c>
      <c r="AA44" s="93"/>
      <c r="AB44" s="77"/>
      <c r="AC44" s="80">
        <f t="shared" si="8"/>
        <v>24073333.333333332</v>
      </c>
      <c r="AD44" s="81" t="s">
        <v>243</v>
      </c>
      <c r="AE44" s="82" t="s">
        <v>1</v>
      </c>
      <c r="AF44" s="83" t="s">
        <v>361</v>
      </c>
      <c r="AG44" s="83"/>
      <c r="AH44" s="84" t="str">
        <f t="shared" si="12"/>
        <v>CON-033</v>
      </c>
      <c r="AI44" s="81">
        <v>80111600</v>
      </c>
      <c r="AJ44" s="46" t="s">
        <v>158</v>
      </c>
      <c r="AK44" s="47">
        <f t="shared" si="9"/>
        <v>45327</v>
      </c>
      <c r="AL44" s="47">
        <f t="shared" si="10"/>
        <v>45327</v>
      </c>
      <c r="AM44" s="233">
        <f t="shared" si="13"/>
        <v>10</v>
      </c>
      <c r="AN44" s="48" t="s">
        <v>241</v>
      </c>
      <c r="AO44" s="49" t="s">
        <v>242</v>
      </c>
      <c r="AP44" s="50">
        <f t="shared" si="14"/>
        <v>24073333.333333332</v>
      </c>
      <c r="AQ44" s="50">
        <f t="shared" si="11"/>
        <v>24073333.333333332</v>
      </c>
      <c r="AR44" s="48" t="s">
        <v>244</v>
      </c>
      <c r="AS44" s="48" t="s">
        <v>245</v>
      </c>
      <c r="AT44" s="51" t="s">
        <v>246</v>
      </c>
      <c r="AU44" s="52" t="s">
        <v>247</v>
      </c>
      <c r="AV44" s="53" t="str">
        <f t="shared" si="16"/>
        <v>DESPACHO VAC</v>
      </c>
      <c r="AW44" s="54" t="s">
        <v>248</v>
      </c>
      <c r="AX44" s="55" t="s">
        <v>249</v>
      </c>
      <c r="AY44" s="48" t="s">
        <v>244</v>
      </c>
      <c r="AZ44" s="48" t="s">
        <v>244</v>
      </c>
      <c r="BA44" s="56" t="s">
        <v>250</v>
      </c>
      <c r="BB44" s="57" t="s">
        <v>251</v>
      </c>
      <c r="BC44" s="57" t="s">
        <v>252</v>
      </c>
      <c r="BD44" s="57" t="s">
        <v>250</v>
      </c>
      <c r="BE44" s="57"/>
      <c r="BF44" s="57"/>
    </row>
    <row r="45" spans="1:58" ht="45" x14ac:dyDescent="0.2">
      <c r="A45" s="44" t="s">
        <v>285</v>
      </c>
      <c r="B45" s="45" t="s">
        <v>63</v>
      </c>
      <c r="C45" s="45" t="s">
        <v>13</v>
      </c>
      <c r="D45" s="45" t="s">
        <v>74</v>
      </c>
      <c r="E45" s="45"/>
      <c r="F45" s="45" t="s">
        <v>16</v>
      </c>
      <c r="G45" s="45" t="s">
        <v>72</v>
      </c>
      <c r="H45" s="45" t="s">
        <v>473</v>
      </c>
      <c r="I45" s="45"/>
      <c r="J45" s="166">
        <v>3524018.5909090908</v>
      </c>
      <c r="K45" s="172">
        <f t="shared" si="2"/>
        <v>0.10000000000000009</v>
      </c>
      <c r="L45" s="232">
        <f>+J45*1.1</f>
        <v>3876420.45</v>
      </c>
      <c r="M45" s="45">
        <v>1</v>
      </c>
      <c r="N45" s="45" t="s">
        <v>486</v>
      </c>
      <c r="O45" s="59">
        <v>45313</v>
      </c>
      <c r="P45" s="58">
        <v>45639</v>
      </c>
      <c r="Q45" s="59">
        <f>VLOOKUP($A45,[6]Contratistas!$A$3:$R$117,10,0)</f>
        <v>45313</v>
      </c>
      <c r="R45" s="237">
        <f>VLOOKUP($A45,[6]Contratistas!$A$3:$R$117,11,0)</f>
        <v>45639</v>
      </c>
      <c r="S45" s="78">
        <f t="shared" si="3"/>
        <v>42640624.950000003</v>
      </c>
      <c r="T45" s="59"/>
      <c r="U45" s="59"/>
      <c r="V45" s="78">
        <f t="shared" si="4"/>
        <v>0</v>
      </c>
      <c r="W45" s="76">
        <f t="shared" si="5"/>
        <v>11</v>
      </c>
      <c r="X45" s="93">
        <f t="shared" si="6"/>
        <v>42640624.950000003</v>
      </c>
      <c r="Y45" s="93">
        <v>38764204.5</v>
      </c>
      <c r="Z45" s="171">
        <f t="shared" si="7"/>
        <v>0.10000000000000009</v>
      </c>
      <c r="AA45" s="4"/>
      <c r="AB45" s="134" t="s">
        <v>17</v>
      </c>
      <c r="AC45" s="80">
        <f t="shared" si="8"/>
        <v>42640624.950000003</v>
      </c>
      <c r="AD45" s="81" t="s">
        <v>243</v>
      </c>
      <c r="AE45" s="82" t="s">
        <v>15</v>
      </c>
      <c r="AF45" s="83" t="s">
        <v>361</v>
      </c>
      <c r="AG45" s="83"/>
      <c r="AH45" s="84" t="str">
        <f t="shared" si="12"/>
        <v>CON-034</v>
      </c>
      <c r="AI45" s="81">
        <v>80111600</v>
      </c>
      <c r="AJ45" s="46" t="s">
        <v>159</v>
      </c>
      <c r="AK45" s="47">
        <f t="shared" si="9"/>
        <v>45313</v>
      </c>
      <c r="AL45" s="47">
        <f t="shared" si="10"/>
        <v>45313</v>
      </c>
      <c r="AM45" s="233">
        <f t="shared" si="13"/>
        <v>11</v>
      </c>
      <c r="AN45" s="48" t="s">
        <v>241</v>
      </c>
      <c r="AO45" s="49" t="s">
        <v>242</v>
      </c>
      <c r="AP45" s="50">
        <f t="shared" si="14"/>
        <v>42640624.950000003</v>
      </c>
      <c r="AQ45" s="50">
        <f t="shared" si="11"/>
        <v>42640624.950000003</v>
      </c>
      <c r="AR45" s="48" t="s">
        <v>244</v>
      </c>
      <c r="AS45" s="48" t="s">
        <v>245</v>
      </c>
      <c r="AT45" s="51" t="s">
        <v>246</v>
      </c>
      <c r="AU45" s="52" t="s">
        <v>247</v>
      </c>
      <c r="AV45" s="53" t="str">
        <f t="shared" si="16"/>
        <v>DESPACHO VAC</v>
      </c>
      <c r="AW45" s="54" t="s">
        <v>248</v>
      </c>
      <c r="AX45" s="55" t="s">
        <v>249</v>
      </c>
      <c r="AY45" s="48" t="s">
        <v>244</v>
      </c>
      <c r="AZ45" s="48" t="s">
        <v>244</v>
      </c>
      <c r="BA45" s="56" t="s">
        <v>250</v>
      </c>
      <c r="BB45" s="57" t="s">
        <v>251</v>
      </c>
      <c r="BC45" s="57" t="s">
        <v>252</v>
      </c>
      <c r="BD45" s="57" t="s">
        <v>250</v>
      </c>
      <c r="BE45" s="57"/>
      <c r="BF45" s="57"/>
    </row>
    <row r="46" spans="1:58" ht="81" customHeight="1" x14ac:dyDescent="0.2">
      <c r="A46" s="44" t="s">
        <v>286</v>
      </c>
      <c r="B46" s="45" t="s">
        <v>63</v>
      </c>
      <c r="C46" s="45" t="s">
        <v>13</v>
      </c>
      <c r="D46" s="45" t="s">
        <v>18</v>
      </c>
      <c r="E46" s="45"/>
      <c r="F46" s="45" t="s">
        <v>383</v>
      </c>
      <c r="G46" s="45" t="s">
        <v>374</v>
      </c>
      <c r="H46" s="45" t="s">
        <v>67</v>
      </c>
      <c r="I46" s="45">
        <v>1</v>
      </c>
      <c r="J46" s="75">
        <v>4550000</v>
      </c>
      <c r="K46" s="172">
        <f t="shared" si="2"/>
        <v>3.2967032967033072E-2</v>
      </c>
      <c r="L46" s="166">
        <f>IF(H46="OTRO",(J46*1.05),VLOOKUP((I46&amp;H46),'ESCALAS Salarios'!$D$2:$F$30,3,0))</f>
        <v>4700000</v>
      </c>
      <c r="M46" s="45">
        <v>1</v>
      </c>
      <c r="N46" s="45" t="s">
        <v>485</v>
      </c>
      <c r="O46" s="59">
        <v>45327</v>
      </c>
      <c r="P46" s="58">
        <v>45639</v>
      </c>
      <c r="Q46" s="59">
        <f>VLOOKUP($A46,[6]Contratistas!$A$3:$R$117,10,0)</f>
        <v>45327</v>
      </c>
      <c r="R46" s="237">
        <f>VLOOKUP($A46,[6]Contratistas!$A$3:$R$117,11,0)</f>
        <v>45639</v>
      </c>
      <c r="S46" s="78">
        <f t="shared" si="3"/>
        <v>48880000</v>
      </c>
      <c r="T46" s="59"/>
      <c r="U46" s="59"/>
      <c r="V46" s="78">
        <f t="shared" si="4"/>
        <v>0</v>
      </c>
      <c r="W46" s="76">
        <f t="shared" si="5"/>
        <v>10</v>
      </c>
      <c r="X46" s="93">
        <f t="shared" si="6"/>
        <v>48880000</v>
      </c>
      <c r="Y46" s="93">
        <v>48078333.333333336</v>
      </c>
      <c r="Z46" s="171">
        <f t="shared" si="7"/>
        <v>1.6674177557458369E-2</v>
      </c>
      <c r="AA46" s="4">
        <v>18001226</v>
      </c>
      <c r="AB46" s="134" t="s">
        <v>413</v>
      </c>
      <c r="AC46" s="80">
        <f t="shared" si="8"/>
        <v>48880000</v>
      </c>
      <c r="AD46" s="81" t="s">
        <v>243</v>
      </c>
      <c r="AE46" s="82" t="s">
        <v>1</v>
      </c>
      <c r="AF46" s="83" t="s">
        <v>361</v>
      </c>
      <c r="AG46" s="83"/>
      <c r="AH46" s="84" t="str">
        <f t="shared" si="12"/>
        <v>CON-035</v>
      </c>
      <c r="AI46" s="81">
        <v>80111600</v>
      </c>
      <c r="AJ46" s="46" t="s">
        <v>160</v>
      </c>
      <c r="AK46" s="47">
        <f t="shared" si="9"/>
        <v>45327</v>
      </c>
      <c r="AL46" s="47">
        <f t="shared" si="10"/>
        <v>45327</v>
      </c>
      <c r="AM46" s="233">
        <f t="shared" si="13"/>
        <v>10</v>
      </c>
      <c r="AN46" s="48" t="s">
        <v>241</v>
      </c>
      <c r="AO46" s="49" t="s">
        <v>242</v>
      </c>
      <c r="AP46" s="50">
        <f t="shared" si="14"/>
        <v>48880000</v>
      </c>
      <c r="AQ46" s="50">
        <f t="shared" si="11"/>
        <v>48880000</v>
      </c>
      <c r="AR46" s="48" t="s">
        <v>244</v>
      </c>
      <c r="AS46" s="48" t="s">
        <v>245</v>
      </c>
      <c r="AT46" s="51" t="s">
        <v>246</v>
      </c>
      <c r="AU46" s="52" t="s">
        <v>247</v>
      </c>
      <c r="AV46" s="53" t="str">
        <f t="shared" si="16"/>
        <v>SUBDIRECCIÓN DE ADMISIONES Y REGISTRO</v>
      </c>
      <c r="AW46" s="54" t="s">
        <v>248</v>
      </c>
      <c r="AX46" s="55" t="s">
        <v>249</v>
      </c>
      <c r="AY46" s="48" t="s">
        <v>244</v>
      </c>
      <c r="AZ46" s="48" t="s">
        <v>244</v>
      </c>
      <c r="BA46" s="56" t="s">
        <v>250</v>
      </c>
      <c r="BB46" s="57" t="s">
        <v>251</v>
      </c>
      <c r="BC46" s="57" t="s">
        <v>252</v>
      </c>
      <c r="BD46" s="57" t="s">
        <v>250</v>
      </c>
      <c r="BE46" s="57"/>
      <c r="BF46" s="57"/>
    </row>
    <row r="47" spans="1:58" ht="121.5" customHeight="1" x14ac:dyDescent="0.2">
      <c r="A47" s="44" t="s">
        <v>287</v>
      </c>
      <c r="B47" s="45" t="s">
        <v>63</v>
      </c>
      <c r="C47" s="45" t="s">
        <v>13</v>
      </c>
      <c r="D47" s="45" t="s">
        <v>18</v>
      </c>
      <c r="E47" s="45"/>
      <c r="F47" s="45" t="s">
        <v>383</v>
      </c>
      <c r="G47" s="45" t="s">
        <v>374</v>
      </c>
      <c r="H47" s="45" t="s">
        <v>67</v>
      </c>
      <c r="I47" s="45">
        <v>3</v>
      </c>
      <c r="J47" s="75">
        <v>5000000</v>
      </c>
      <c r="K47" s="172">
        <f t="shared" si="2"/>
        <v>7.0000000000000062E-2</v>
      </c>
      <c r="L47" s="166">
        <f>IF(H47="OTRO",(J47*1.05),VLOOKUP((I47&amp;H47),'ESCALAS Salarios'!$D$2:$F$30,3,0))</f>
        <v>5350000</v>
      </c>
      <c r="M47" s="45">
        <v>1</v>
      </c>
      <c r="N47" s="45" t="s">
        <v>485</v>
      </c>
      <c r="O47" s="59">
        <v>45327</v>
      </c>
      <c r="P47" s="58">
        <v>45639</v>
      </c>
      <c r="Q47" s="59">
        <f>VLOOKUP($A47,[6]Contratistas!$A$3:$R$117,10,0)</f>
        <v>45327</v>
      </c>
      <c r="R47" s="237">
        <f>VLOOKUP($A47,[6]Contratistas!$A$3:$R$117,11,0)</f>
        <v>45639</v>
      </c>
      <c r="S47" s="78">
        <f t="shared" si="3"/>
        <v>55640000</v>
      </c>
      <c r="T47" s="59"/>
      <c r="U47" s="59"/>
      <c r="V47" s="78">
        <f t="shared" si="4"/>
        <v>0</v>
      </c>
      <c r="W47" s="76">
        <f t="shared" si="5"/>
        <v>10</v>
      </c>
      <c r="X47" s="93">
        <f t="shared" si="6"/>
        <v>55640000</v>
      </c>
      <c r="Y47" s="93">
        <v>52833333.333333336</v>
      </c>
      <c r="Z47" s="171">
        <f t="shared" si="7"/>
        <v>5.3123028391167226E-2</v>
      </c>
      <c r="AA47" s="4">
        <v>19370679</v>
      </c>
      <c r="AB47" s="134" t="s">
        <v>414</v>
      </c>
      <c r="AC47" s="80">
        <f t="shared" si="8"/>
        <v>55640000</v>
      </c>
      <c r="AD47" s="81" t="s">
        <v>243</v>
      </c>
      <c r="AE47" s="82" t="s">
        <v>1</v>
      </c>
      <c r="AF47" s="83" t="s">
        <v>361</v>
      </c>
      <c r="AG47" s="83"/>
      <c r="AH47" s="84" t="str">
        <f t="shared" si="12"/>
        <v>CON-036</v>
      </c>
      <c r="AI47" s="81">
        <v>80111600</v>
      </c>
      <c r="AJ47" s="46" t="s">
        <v>161</v>
      </c>
      <c r="AK47" s="47">
        <f t="shared" si="9"/>
        <v>45327</v>
      </c>
      <c r="AL47" s="47">
        <f t="shared" si="10"/>
        <v>45327</v>
      </c>
      <c r="AM47" s="233">
        <f t="shared" si="13"/>
        <v>10</v>
      </c>
      <c r="AN47" s="48" t="s">
        <v>241</v>
      </c>
      <c r="AO47" s="49" t="s">
        <v>242</v>
      </c>
      <c r="AP47" s="50">
        <f t="shared" si="14"/>
        <v>55640000</v>
      </c>
      <c r="AQ47" s="50">
        <f t="shared" si="11"/>
        <v>55640000</v>
      </c>
      <c r="AR47" s="48" t="s">
        <v>244</v>
      </c>
      <c r="AS47" s="48" t="s">
        <v>245</v>
      </c>
      <c r="AT47" s="51" t="s">
        <v>246</v>
      </c>
      <c r="AU47" s="52" t="s">
        <v>247</v>
      </c>
      <c r="AV47" s="53" t="str">
        <f t="shared" si="16"/>
        <v>SUBDIRECCIÓN DE ADMISIONES Y REGISTRO</v>
      </c>
      <c r="AW47" s="54" t="s">
        <v>248</v>
      </c>
      <c r="AX47" s="55" t="s">
        <v>249</v>
      </c>
      <c r="AY47" s="48" t="s">
        <v>244</v>
      </c>
      <c r="AZ47" s="48" t="s">
        <v>244</v>
      </c>
      <c r="BA47" s="56" t="s">
        <v>250</v>
      </c>
      <c r="BB47" s="57" t="s">
        <v>251</v>
      </c>
      <c r="BC47" s="57" t="s">
        <v>252</v>
      </c>
      <c r="BD47" s="57" t="s">
        <v>250</v>
      </c>
      <c r="BE47" s="57"/>
      <c r="BF47" s="57"/>
    </row>
    <row r="48" spans="1:58" ht="56.25" x14ac:dyDescent="0.2">
      <c r="A48" s="44" t="s">
        <v>288</v>
      </c>
      <c r="B48" s="45" t="s">
        <v>63</v>
      </c>
      <c r="C48" s="45" t="s">
        <v>13</v>
      </c>
      <c r="D48" s="45" t="s">
        <v>20</v>
      </c>
      <c r="E48" s="45"/>
      <c r="F48" s="45" t="s">
        <v>16</v>
      </c>
      <c r="G48" s="45" t="s">
        <v>72</v>
      </c>
      <c r="H48" s="45" t="s">
        <v>473</v>
      </c>
      <c r="I48" s="45"/>
      <c r="J48" s="166">
        <v>3610558.6871454548</v>
      </c>
      <c r="K48" s="172">
        <f t="shared" si="2"/>
        <v>0.1080000000000001</v>
      </c>
      <c r="L48" s="232">
        <f>+J48*1.108</f>
        <v>4000499.0253571644</v>
      </c>
      <c r="M48" s="45">
        <v>1</v>
      </c>
      <c r="N48" s="45" t="s">
        <v>486</v>
      </c>
      <c r="O48" s="59">
        <v>45327</v>
      </c>
      <c r="P48" s="58">
        <v>45639</v>
      </c>
      <c r="Q48" s="59">
        <f>VLOOKUP($A48,[6]Contratistas!$A$3:$R$117,10,0)</f>
        <v>45327</v>
      </c>
      <c r="R48" s="237">
        <f>VLOOKUP($A48,[6]Contratistas!$A$3:$R$117,11,0)</f>
        <v>45639</v>
      </c>
      <c r="S48" s="78">
        <f t="shared" si="3"/>
        <v>40004990.253571644</v>
      </c>
      <c r="T48" s="59"/>
      <c r="U48" s="59"/>
      <c r="V48" s="78">
        <f t="shared" si="4"/>
        <v>0</v>
      </c>
      <c r="W48" s="76">
        <f t="shared" si="5"/>
        <v>10</v>
      </c>
      <c r="X48" s="93">
        <f t="shared" si="6"/>
        <v>40004990.253571644</v>
      </c>
      <c r="Y48" s="93">
        <v>39716145.558600001</v>
      </c>
      <c r="Z48" s="171">
        <f t="shared" si="7"/>
        <v>7.2727272727275416E-3</v>
      </c>
      <c r="AA48" s="93"/>
      <c r="AB48" s="77" t="s">
        <v>19</v>
      </c>
      <c r="AC48" s="80">
        <f t="shared" si="8"/>
        <v>40004990.253571644</v>
      </c>
      <c r="AD48" s="81" t="s">
        <v>243</v>
      </c>
      <c r="AE48" s="82" t="s">
        <v>15</v>
      </c>
      <c r="AF48" s="83" t="s">
        <v>361</v>
      </c>
      <c r="AG48" s="83"/>
      <c r="AH48" s="84" t="str">
        <f t="shared" si="12"/>
        <v>CON-037</v>
      </c>
      <c r="AI48" s="81">
        <v>80111600</v>
      </c>
      <c r="AJ48" s="46" t="s">
        <v>162</v>
      </c>
      <c r="AK48" s="47">
        <f t="shared" si="9"/>
        <v>45327</v>
      </c>
      <c r="AL48" s="47">
        <f t="shared" si="10"/>
        <v>45327</v>
      </c>
      <c r="AM48" s="233">
        <f t="shared" si="13"/>
        <v>10</v>
      </c>
      <c r="AN48" s="48" t="s">
        <v>241</v>
      </c>
      <c r="AO48" s="49" t="s">
        <v>242</v>
      </c>
      <c r="AP48" s="50">
        <f t="shared" si="14"/>
        <v>40004990.253571644</v>
      </c>
      <c r="AQ48" s="50">
        <f t="shared" si="11"/>
        <v>40004990.253571644</v>
      </c>
      <c r="AR48" s="48" t="s">
        <v>244</v>
      </c>
      <c r="AS48" s="48" t="s">
        <v>245</v>
      </c>
      <c r="AT48" s="51" t="s">
        <v>246</v>
      </c>
      <c r="AU48" s="52" t="s">
        <v>247</v>
      </c>
      <c r="AV48" s="53" t="str">
        <f t="shared" si="16"/>
        <v>COMITÉ DE ASIGNACION Y RECONOCIMIENTO DE  PUNTAJE - CIARP</v>
      </c>
      <c r="AW48" s="54" t="s">
        <v>248</v>
      </c>
      <c r="AX48" s="55" t="s">
        <v>249</v>
      </c>
      <c r="AY48" s="48" t="s">
        <v>244</v>
      </c>
      <c r="AZ48" s="48" t="s">
        <v>244</v>
      </c>
      <c r="BA48" s="56" t="s">
        <v>250</v>
      </c>
      <c r="BB48" s="57" t="s">
        <v>251</v>
      </c>
      <c r="BC48" s="57" t="s">
        <v>252</v>
      </c>
      <c r="BD48" s="57" t="s">
        <v>250</v>
      </c>
      <c r="BE48" s="57"/>
      <c r="BF48" s="57"/>
    </row>
    <row r="49" spans="1:58" ht="56.25" x14ac:dyDescent="0.2">
      <c r="A49" s="44" t="s">
        <v>629</v>
      </c>
      <c r="B49" s="45" t="s">
        <v>63</v>
      </c>
      <c r="C49" s="45" t="s">
        <v>13</v>
      </c>
      <c r="D49" s="45" t="s">
        <v>20</v>
      </c>
      <c r="E49" s="45"/>
      <c r="F49" s="45" t="s">
        <v>481</v>
      </c>
      <c r="G49" s="45" t="s">
        <v>374</v>
      </c>
      <c r="H49" s="45" t="s">
        <v>71</v>
      </c>
      <c r="I49" s="45">
        <v>5</v>
      </c>
      <c r="J49" s="75">
        <v>2000000</v>
      </c>
      <c r="K49" s="172">
        <f t="shared" si="2"/>
        <v>5.0000000000000044E-2</v>
      </c>
      <c r="L49" s="166">
        <f>IF(H49="OTRO",(J49*1.05),VLOOKUP((I49&amp;H49),'ESCALAS Salarios'!$D$2:$F$30,3,0))</f>
        <v>2100000</v>
      </c>
      <c r="M49" s="45">
        <v>1</v>
      </c>
      <c r="N49" s="45" t="s">
        <v>485</v>
      </c>
      <c r="O49" s="59">
        <v>45327</v>
      </c>
      <c r="P49" s="58">
        <v>45626</v>
      </c>
      <c r="Q49" s="59">
        <f>VLOOKUP($A49,[6]Contratistas!$A$3:$R$117,10,0)</f>
        <v>45327</v>
      </c>
      <c r="R49" s="237">
        <f>VLOOKUP($A49,[6]Contratistas!$A$3:$R$117,11,0)</f>
        <v>45626</v>
      </c>
      <c r="S49" s="78">
        <f t="shared" si="3"/>
        <v>20930000</v>
      </c>
      <c r="T49" s="59"/>
      <c r="U49" s="59"/>
      <c r="V49" s="78">
        <f t="shared" si="4"/>
        <v>0</v>
      </c>
      <c r="W49" s="76">
        <f t="shared" si="5"/>
        <v>10</v>
      </c>
      <c r="X49" s="93">
        <f t="shared" si="6"/>
        <v>20930000</v>
      </c>
      <c r="Y49" s="93">
        <v>20133333.333333332</v>
      </c>
      <c r="Z49" s="171">
        <f t="shared" si="7"/>
        <v>3.956953642384109E-2</v>
      </c>
      <c r="AA49" s="93"/>
      <c r="AB49" s="77"/>
      <c r="AC49" s="80">
        <f t="shared" si="8"/>
        <v>20930000</v>
      </c>
      <c r="AD49" s="81" t="s">
        <v>243</v>
      </c>
      <c r="AE49" s="82" t="s">
        <v>1</v>
      </c>
      <c r="AF49" s="83" t="s">
        <v>361</v>
      </c>
      <c r="AG49" s="83"/>
      <c r="AH49" s="84" t="str">
        <f t="shared" si="12"/>
        <v>CON-038</v>
      </c>
      <c r="AI49" s="81">
        <v>80111600</v>
      </c>
      <c r="AJ49" s="46" t="s">
        <v>163</v>
      </c>
      <c r="AK49" s="47">
        <f t="shared" si="9"/>
        <v>45327</v>
      </c>
      <c r="AL49" s="47">
        <f t="shared" si="10"/>
        <v>45327</v>
      </c>
      <c r="AM49" s="233">
        <f t="shared" si="13"/>
        <v>10</v>
      </c>
      <c r="AN49" s="48" t="s">
        <v>241</v>
      </c>
      <c r="AO49" s="49" t="s">
        <v>242</v>
      </c>
      <c r="AP49" s="50">
        <f t="shared" si="14"/>
        <v>20930000</v>
      </c>
      <c r="AQ49" s="50">
        <f t="shared" si="11"/>
        <v>20930000</v>
      </c>
      <c r="AR49" s="48" t="s">
        <v>244</v>
      </c>
      <c r="AS49" s="48" t="s">
        <v>245</v>
      </c>
      <c r="AT49" s="51" t="s">
        <v>246</v>
      </c>
      <c r="AU49" s="52" t="s">
        <v>247</v>
      </c>
      <c r="AV49" s="53" t="str">
        <f t="shared" si="16"/>
        <v>COMITÉ DE ASIGNACION Y RECONOCIMIENTO DE  PUNTAJE - CIARP</v>
      </c>
      <c r="AW49" s="54" t="s">
        <v>248</v>
      </c>
      <c r="AX49" s="55" t="s">
        <v>249</v>
      </c>
      <c r="AY49" s="48" t="s">
        <v>244</v>
      </c>
      <c r="AZ49" s="48" t="s">
        <v>244</v>
      </c>
      <c r="BA49" s="56" t="s">
        <v>250</v>
      </c>
      <c r="BB49" s="57" t="s">
        <v>251</v>
      </c>
      <c r="BC49" s="57" t="s">
        <v>252</v>
      </c>
      <c r="BD49" s="57" t="s">
        <v>250</v>
      </c>
      <c r="BE49" s="57"/>
      <c r="BF49" s="57"/>
    </row>
    <row r="50" spans="1:58" ht="33.75" x14ac:dyDescent="0.2">
      <c r="A50" s="44" t="s">
        <v>289</v>
      </c>
      <c r="B50" s="45" t="s">
        <v>63</v>
      </c>
      <c r="C50" s="45" t="s">
        <v>13</v>
      </c>
      <c r="D50" s="45" t="s">
        <v>21</v>
      </c>
      <c r="E50" s="45"/>
      <c r="F50" s="45" t="s">
        <v>16</v>
      </c>
      <c r="G50" s="45" t="s">
        <v>72</v>
      </c>
      <c r="H50" s="45" t="s">
        <v>473</v>
      </c>
      <c r="I50" s="45"/>
      <c r="J50" s="166">
        <v>7287254.4545454541</v>
      </c>
      <c r="K50" s="172">
        <f t="shared" si="2"/>
        <v>0.1080000000000001</v>
      </c>
      <c r="L50" s="232">
        <f>+J50*1.108</f>
        <v>8074277.9356363639</v>
      </c>
      <c r="M50" s="45">
        <v>1</v>
      </c>
      <c r="N50" s="45" t="s">
        <v>486</v>
      </c>
      <c r="O50" s="59">
        <v>45313</v>
      </c>
      <c r="P50" s="58">
        <v>45632</v>
      </c>
      <c r="Q50" s="59">
        <f>VLOOKUP($A50,[6]Contratistas!$A$3:$R$117,10,0)</f>
        <v>45313</v>
      </c>
      <c r="R50" s="237">
        <f>VLOOKUP($A50,[6]Contratistas!$A$3:$R$117,11,0)</f>
        <v>45632</v>
      </c>
      <c r="S50" s="78">
        <f t="shared" si="3"/>
        <v>88817057.291999996</v>
      </c>
      <c r="T50" s="59"/>
      <c r="U50" s="59"/>
      <c r="V50" s="78">
        <f t="shared" si="4"/>
        <v>0</v>
      </c>
      <c r="W50" s="76">
        <f t="shared" si="5"/>
        <v>11</v>
      </c>
      <c r="X50" s="93">
        <f t="shared" si="6"/>
        <v>88817057.291999996</v>
      </c>
      <c r="Y50" s="93">
        <v>80159799</v>
      </c>
      <c r="Z50" s="171">
        <f t="shared" si="7"/>
        <v>0.10799999999999987</v>
      </c>
      <c r="AA50" s="93"/>
      <c r="AB50" s="77" t="s">
        <v>19</v>
      </c>
      <c r="AC50" s="80">
        <f t="shared" si="8"/>
        <v>88817057.291999996</v>
      </c>
      <c r="AD50" s="81" t="s">
        <v>243</v>
      </c>
      <c r="AE50" s="82" t="s">
        <v>15</v>
      </c>
      <c r="AF50" s="83" t="s">
        <v>361</v>
      </c>
      <c r="AG50" s="83"/>
      <c r="AH50" s="84" t="str">
        <f t="shared" si="12"/>
        <v>CON-039</v>
      </c>
      <c r="AI50" s="81">
        <v>80111600</v>
      </c>
      <c r="AJ50" s="46" t="s">
        <v>164</v>
      </c>
      <c r="AK50" s="47">
        <f t="shared" si="9"/>
        <v>45313</v>
      </c>
      <c r="AL50" s="47">
        <f t="shared" si="10"/>
        <v>45313</v>
      </c>
      <c r="AM50" s="233">
        <f t="shared" si="13"/>
        <v>11</v>
      </c>
      <c r="AN50" s="48" t="s">
        <v>241</v>
      </c>
      <c r="AO50" s="49" t="s">
        <v>242</v>
      </c>
      <c r="AP50" s="50">
        <f t="shared" si="14"/>
        <v>88817057.291999996</v>
      </c>
      <c r="AQ50" s="50">
        <f t="shared" si="11"/>
        <v>88817057.291999996</v>
      </c>
      <c r="AR50" s="48" t="s">
        <v>244</v>
      </c>
      <c r="AS50" s="48" t="s">
        <v>245</v>
      </c>
      <c r="AT50" s="51" t="s">
        <v>246</v>
      </c>
      <c r="AU50" s="52" t="s">
        <v>247</v>
      </c>
      <c r="AV50" s="53" t="str">
        <f t="shared" si="16"/>
        <v>DOCTORADO INTERINSTITUCIONAL EN EDUCACIÓN</v>
      </c>
      <c r="AW50" s="54" t="s">
        <v>248</v>
      </c>
      <c r="AX50" s="55" t="s">
        <v>249</v>
      </c>
      <c r="AY50" s="48" t="s">
        <v>244</v>
      </c>
      <c r="AZ50" s="48" t="s">
        <v>244</v>
      </c>
      <c r="BA50" s="56" t="s">
        <v>250</v>
      </c>
      <c r="BB50" s="57" t="s">
        <v>251</v>
      </c>
      <c r="BC50" s="57" t="s">
        <v>252</v>
      </c>
      <c r="BD50" s="57" t="s">
        <v>250</v>
      </c>
      <c r="BE50" s="57"/>
      <c r="BF50" s="57"/>
    </row>
    <row r="51" spans="1:58" ht="155.25" customHeight="1" x14ac:dyDescent="0.2">
      <c r="A51" s="44" t="s">
        <v>290</v>
      </c>
      <c r="B51" s="45" t="s">
        <v>63</v>
      </c>
      <c r="C51" s="45" t="s">
        <v>13</v>
      </c>
      <c r="D51" s="45" t="s">
        <v>22</v>
      </c>
      <c r="E51" s="45" t="s">
        <v>77</v>
      </c>
      <c r="F51" s="45" t="s">
        <v>383</v>
      </c>
      <c r="G51" s="45" t="s">
        <v>374</v>
      </c>
      <c r="H51" s="45" t="s">
        <v>69</v>
      </c>
      <c r="I51" s="45">
        <v>6</v>
      </c>
      <c r="J51" s="75">
        <v>4200000</v>
      </c>
      <c r="K51" s="172">
        <f t="shared" si="2"/>
        <v>4.7619047619047672E-2</v>
      </c>
      <c r="L51" s="166">
        <f>IF(H51="OTRO",(J51*1.05),VLOOKUP((I51&amp;H51),'ESCALAS Salarios'!$D$2:$F$30,3,0))</f>
        <v>4400000</v>
      </c>
      <c r="M51" s="45">
        <v>1</v>
      </c>
      <c r="N51" s="45" t="s">
        <v>485</v>
      </c>
      <c r="O51" s="59">
        <v>45327</v>
      </c>
      <c r="P51" s="58">
        <v>45641</v>
      </c>
      <c r="Q51" s="59">
        <f>VLOOKUP($A51,[6]Contratistas!$A$3:$R$117,10,0)</f>
        <v>45327</v>
      </c>
      <c r="R51" s="237">
        <f>VLOOKUP($A51,[6]Contratistas!$A$3:$R$117,11,0)</f>
        <v>45641</v>
      </c>
      <c r="S51" s="78">
        <f t="shared" si="3"/>
        <v>46053333.333333336</v>
      </c>
      <c r="T51" s="59"/>
      <c r="U51" s="59"/>
      <c r="V51" s="78">
        <f t="shared" si="4"/>
        <v>0</v>
      </c>
      <c r="W51" s="76">
        <f t="shared" si="5"/>
        <v>10</v>
      </c>
      <c r="X51" s="93">
        <f t="shared" si="6"/>
        <v>46053333.333333336</v>
      </c>
      <c r="Y51" s="93">
        <v>44380000</v>
      </c>
      <c r="Z51" s="171">
        <f t="shared" si="7"/>
        <v>3.7704671774072551E-2</v>
      </c>
      <c r="AA51" s="4">
        <v>1018461794</v>
      </c>
      <c r="AB51" s="134" t="s">
        <v>415</v>
      </c>
      <c r="AC51" s="80">
        <f t="shared" si="8"/>
        <v>46053333.333333336</v>
      </c>
      <c r="AD51" s="81" t="s">
        <v>243</v>
      </c>
      <c r="AE51" s="82" t="s">
        <v>1</v>
      </c>
      <c r="AF51" s="83" t="s">
        <v>361</v>
      </c>
      <c r="AG51" s="83"/>
      <c r="AH51" s="84" t="str">
        <f t="shared" si="12"/>
        <v>CON-040</v>
      </c>
      <c r="AI51" s="81">
        <v>80111600</v>
      </c>
      <c r="AJ51" s="46" t="s">
        <v>165</v>
      </c>
      <c r="AK51" s="47">
        <f t="shared" si="9"/>
        <v>45327</v>
      </c>
      <c r="AL51" s="47">
        <f t="shared" si="10"/>
        <v>45327</v>
      </c>
      <c r="AM51" s="233">
        <f t="shared" si="13"/>
        <v>10</v>
      </c>
      <c r="AN51" s="48" t="s">
        <v>241</v>
      </c>
      <c r="AO51" s="49" t="s">
        <v>242</v>
      </c>
      <c r="AP51" s="50">
        <f t="shared" si="14"/>
        <v>46053333.333333336</v>
      </c>
      <c r="AQ51" s="50">
        <f t="shared" si="11"/>
        <v>46053333.333333336</v>
      </c>
      <c r="AR51" s="48" t="s">
        <v>244</v>
      </c>
      <c r="AS51" s="48" t="s">
        <v>245</v>
      </c>
      <c r="AT51" s="51" t="s">
        <v>246</v>
      </c>
      <c r="AU51" s="52" t="s">
        <v>247</v>
      </c>
      <c r="AV51" s="53" t="str">
        <f t="shared" si="16"/>
        <v>FACULTAD DE CIENCIA Y TECNOLOGÍA</v>
      </c>
      <c r="AW51" s="54" t="s">
        <v>248</v>
      </c>
      <c r="AX51" s="55" t="s">
        <v>249</v>
      </c>
      <c r="AY51" s="48" t="s">
        <v>244</v>
      </c>
      <c r="AZ51" s="48" t="s">
        <v>244</v>
      </c>
      <c r="BA51" s="56" t="s">
        <v>250</v>
      </c>
      <c r="BB51" s="57" t="s">
        <v>251</v>
      </c>
      <c r="BC51" s="57" t="s">
        <v>252</v>
      </c>
      <c r="BD51" s="57" t="s">
        <v>250</v>
      </c>
      <c r="BE51" s="57"/>
      <c r="BF51" s="57"/>
    </row>
    <row r="52" spans="1:58" ht="78.75" x14ac:dyDescent="0.2">
      <c r="A52" s="44" t="s">
        <v>291</v>
      </c>
      <c r="B52" s="45" t="s">
        <v>63</v>
      </c>
      <c r="C52" s="45" t="s">
        <v>13</v>
      </c>
      <c r="D52" s="45" t="s">
        <v>22</v>
      </c>
      <c r="E52" s="45" t="s">
        <v>77</v>
      </c>
      <c r="F52" s="45" t="s">
        <v>383</v>
      </c>
      <c r="G52" s="45" t="s">
        <v>374</v>
      </c>
      <c r="H52" s="45" t="s">
        <v>69</v>
      </c>
      <c r="I52" s="45">
        <v>6</v>
      </c>
      <c r="J52" s="75">
        <v>4200000</v>
      </c>
      <c r="K52" s="172">
        <f t="shared" si="2"/>
        <v>4.7619047619047672E-2</v>
      </c>
      <c r="L52" s="166">
        <f>IF(H52="OTRO",(J52*1.05),VLOOKUP((I52&amp;H52),'ESCALAS Salarios'!$D$2:$F$30,3,0))</f>
        <v>4400000</v>
      </c>
      <c r="M52" s="45">
        <v>1</v>
      </c>
      <c r="N52" s="45" t="s">
        <v>485</v>
      </c>
      <c r="O52" s="59">
        <v>45327</v>
      </c>
      <c r="P52" s="58">
        <v>45641</v>
      </c>
      <c r="Q52" s="59">
        <f>VLOOKUP($A52,[6]Contratistas!$A$3:$R$117,10,0)</f>
        <v>45327</v>
      </c>
      <c r="R52" s="237">
        <f>VLOOKUP($A52,[6]Contratistas!$A$3:$R$117,11,0)</f>
        <v>45641</v>
      </c>
      <c r="S52" s="78">
        <f t="shared" si="3"/>
        <v>46053333.333333336</v>
      </c>
      <c r="T52" s="59"/>
      <c r="U52" s="59"/>
      <c r="V52" s="78">
        <f t="shared" si="4"/>
        <v>0</v>
      </c>
      <c r="W52" s="76">
        <f t="shared" si="5"/>
        <v>10</v>
      </c>
      <c r="X52" s="93">
        <f t="shared" si="6"/>
        <v>46053333.333333336</v>
      </c>
      <c r="Y52" s="93">
        <v>44380000</v>
      </c>
      <c r="Z52" s="171">
        <f t="shared" si="7"/>
        <v>3.7704671774072551E-2</v>
      </c>
      <c r="AA52" s="4">
        <v>1109387206</v>
      </c>
      <c r="AB52" s="134" t="s">
        <v>416</v>
      </c>
      <c r="AC52" s="80">
        <f t="shared" si="8"/>
        <v>46053333.333333336</v>
      </c>
      <c r="AD52" s="81" t="s">
        <v>243</v>
      </c>
      <c r="AE52" s="82" t="s">
        <v>1</v>
      </c>
      <c r="AF52" s="83" t="s">
        <v>361</v>
      </c>
      <c r="AG52" s="83"/>
      <c r="AH52" s="84" t="str">
        <f t="shared" si="12"/>
        <v>CON-041</v>
      </c>
      <c r="AI52" s="81">
        <v>80111600</v>
      </c>
      <c r="AJ52" s="46" t="s">
        <v>166</v>
      </c>
      <c r="AK52" s="47">
        <f t="shared" si="9"/>
        <v>45327</v>
      </c>
      <c r="AL52" s="47">
        <f t="shared" si="10"/>
        <v>45327</v>
      </c>
      <c r="AM52" s="233">
        <f t="shared" si="13"/>
        <v>10</v>
      </c>
      <c r="AN52" s="48" t="s">
        <v>241</v>
      </c>
      <c r="AO52" s="49" t="s">
        <v>242</v>
      </c>
      <c r="AP52" s="50">
        <f t="shared" si="14"/>
        <v>46053333.333333336</v>
      </c>
      <c r="AQ52" s="50">
        <f t="shared" si="11"/>
        <v>46053333.333333336</v>
      </c>
      <c r="AR52" s="48" t="s">
        <v>244</v>
      </c>
      <c r="AS52" s="48" t="s">
        <v>245</v>
      </c>
      <c r="AT52" s="51" t="s">
        <v>246</v>
      </c>
      <c r="AU52" s="52" t="s">
        <v>247</v>
      </c>
      <c r="AV52" s="53" t="str">
        <f t="shared" si="16"/>
        <v>FACULTAD DE CIENCIA Y TECNOLOGÍA</v>
      </c>
      <c r="AW52" s="54" t="s">
        <v>248</v>
      </c>
      <c r="AX52" s="55" t="s">
        <v>249</v>
      </c>
      <c r="AY52" s="48" t="s">
        <v>244</v>
      </c>
      <c r="AZ52" s="48" t="s">
        <v>244</v>
      </c>
      <c r="BA52" s="56" t="s">
        <v>250</v>
      </c>
      <c r="BB52" s="57" t="s">
        <v>251</v>
      </c>
      <c r="BC52" s="57" t="s">
        <v>252</v>
      </c>
      <c r="BD52" s="57" t="s">
        <v>250</v>
      </c>
      <c r="BE52" s="57"/>
      <c r="BF52" s="57"/>
    </row>
    <row r="53" spans="1:58" ht="56.25" x14ac:dyDescent="0.2">
      <c r="A53" s="44" t="s">
        <v>292</v>
      </c>
      <c r="B53" s="45" t="s">
        <v>63</v>
      </c>
      <c r="C53" s="45" t="s">
        <v>13</v>
      </c>
      <c r="D53" s="45" t="s">
        <v>22</v>
      </c>
      <c r="E53" s="45" t="s">
        <v>77</v>
      </c>
      <c r="F53" s="45" t="s">
        <v>383</v>
      </c>
      <c r="G53" s="45" t="s">
        <v>374</v>
      </c>
      <c r="H53" s="45" t="s">
        <v>69</v>
      </c>
      <c r="I53" s="45">
        <v>6</v>
      </c>
      <c r="J53" s="75">
        <v>4200000</v>
      </c>
      <c r="K53" s="172">
        <f t="shared" si="2"/>
        <v>4.7619047619047672E-2</v>
      </c>
      <c r="L53" s="166">
        <f>IF(H53="OTRO",(J53*1.05),VLOOKUP((I53&amp;H53),'ESCALAS Salarios'!$D$2:$F$30,3,0))</f>
        <v>4400000</v>
      </c>
      <c r="M53" s="45">
        <v>1</v>
      </c>
      <c r="N53" s="45" t="s">
        <v>485</v>
      </c>
      <c r="O53" s="59">
        <v>45327</v>
      </c>
      <c r="P53" s="58">
        <v>45641</v>
      </c>
      <c r="Q53" s="59">
        <f>VLOOKUP($A53,[6]Contratistas!$A$3:$R$117,10,0)</f>
        <v>45327</v>
      </c>
      <c r="R53" s="237">
        <f>VLOOKUP($A53,[6]Contratistas!$A$3:$R$117,11,0)</f>
        <v>45641</v>
      </c>
      <c r="S53" s="78">
        <f t="shared" si="3"/>
        <v>46053333.333333336</v>
      </c>
      <c r="T53" s="59"/>
      <c r="U53" s="59"/>
      <c r="V53" s="78">
        <f t="shared" si="4"/>
        <v>0</v>
      </c>
      <c r="W53" s="76">
        <f t="shared" si="5"/>
        <v>10</v>
      </c>
      <c r="X53" s="93">
        <f t="shared" si="6"/>
        <v>46053333.333333336</v>
      </c>
      <c r="Y53" s="93">
        <v>44380000</v>
      </c>
      <c r="Z53" s="171">
        <f t="shared" si="7"/>
        <v>3.7704671774072551E-2</v>
      </c>
      <c r="AA53" s="4">
        <v>1023963626</v>
      </c>
      <c r="AB53" s="134" t="s">
        <v>417</v>
      </c>
      <c r="AC53" s="80">
        <f t="shared" si="8"/>
        <v>46053333.333333336</v>
      </c>
      <c r="AD53" s="81" t="s">
        <v>243</v>
      </c>
      <c r="AE53" s="82" t="s">
        <v>1</v>
      </c>
      <c r="AF53" s="83" t="s">
        <v>361</v>
      </c>
      <c r="AG53" s="83"/>
      <c r="AH53" s="84" t="str">
        <f t="shared" si="12"/>
        <v>CON-042</v>
      </c>
      <c r="AI53" s="81">
        <v>80111600</v>
      </c>
      <c r="AJ53" s="46" t="s">
        <v>167</v>
      </c>
      <c r="AK53" s="47">
        <f t="shared" si="9"/>
        <v>45327</v>
      </c>
      <c r="AL53" s="47">
        <f t="shared" si="10"/>
        <v>45327</v>
      </c>
      <c r="AM53" s="233">
        <f t="shared" si="13"/>
        <v>10</v>
      </c>
      <c r="AN53" s="48" t="s">
        <v>241</v>
      </c>
      <c r="AO53" s="49" t="s">
        <v>242</v>
      </c>
      <c r="AP53" s="50">
        <f t="shared" si="14"/>
        <v>46053333.333333336</v>
      </c>
      <c r="AQ53" s="50">
        <f t="shared" si="11"/>
        <v>46053333.333333336</v>
      </c>
      <c r="AR53" s="48" t="s">
        <v>244</v>
      </c>
      <c r="AS53" s="48" t="s">
        <v>245</v>
      </c>
      <c r="AT53" s="51" t="s">
        <v>246</v>
      </c>
      <c r="AU53" s="52" t="s">
        <v>247</v>
      </c>
      <c r="AV53" s="53" t="str">
        <f t="shared" si="16"/>
        <v>FACULTAD DE CIENCIA Y TECNOLOGÍA</v>
      </c>
      <c r="AW53" s="54" t="s">
        <v>248</v>
      </c>
      <c r="AX53" s="55" t="s">
        <v>249</v>
      </c>
      <c r="AY53" s="48" t="s">
        <v>244</v>
      </c>
      <c r="AZ53" s="48" t="s">
        <v>244</v>
      </c>
      <c r="BA53" s="56" t="s">
        <v>250</v>
      </c>
      <c r="BB53" s="57" t="s">
        <v>251</v>
      </c>
      <c r="BC53" s="57" t="s">
        <v>252</v>
      </c>
      <c r="BD53" s="57" t="s">
        <v>250</v>
      </c>
      <c r="BE53" s="57"/>
      <c r="BF53" s="57"/>
    </row>
    <row r="54" spans="1:58" ht="153" customHeight="1" x14ac:dyDescent="0.2">
      <c r="A54" s="44" t="s">
        <v>293</v>
      </c>
      <c r="B54" s="45" t="s">
        <v>63</v>
      </c>
      <c r="C54" s="45" t="s">
        <v>13</v>
      </c>
      <c r="D54" s="45" t="s">
        <v>22</v>
      </c>
      <c r="E54" s="45" t="s">
        <v>77</v>
      </c>
      <c r="F54" s="45" t="s">
        <v>481</v>
      </c>
      <c r="G54" s="45" t="s">
        <v>374</v>
      </c>
      <c r="H54" s="45" t="s">
        <v>71</v>
      </c>
      <c r="I54" s="45">
        <v>5</v>
      </c>
      <c r="J54" s="75">
        <v>2000000</v>
      </c>
      <c r="K54" s="172">
        <f t="shared" si="2"/>
        <v>5.0000000000000044E-2</v>
      </c>
      <c r="L54" s="166">
        <f>IF(H54="OTRO",(J54*1.05),VLOOKUP((I54&amp;H54),'ESCALAS Salarios'!$D$2:$F$30,3,0))</f>
        <v>2100000</v>
      </c>
      <c r="M54" s="45">
        <v>1</v>
      </c>
      <c r="N54" s="45" t="s">
        <v>485</v>
      </c>
      <c r="O54" s="59">
        <v>45327</v>
      </c>
      <c r="P54" s="58">
        <v>45641</v>
      </c>
      <c r="Q54" s="59">
        <f>VLOOKUP($A54,[6]Contratistas!$A$3:$R$117,10,0)</f>
        <v>45327</v>
      </c>
      <c r="R54" s="237">
        <f>VLOOKUP($A54,[6]Contratistas!$A$3:$R$117,11,0)</f>
        <v>45641</v>
      </c>
      <c r="S54" s="78">
        <f t="shared" si="3"/>
        <v>21980000</v>
      </c>
      <c r="T54" s="59"/>
      <c r="U54" s="59"/>
      <c r="V54" s="78">
        <f t="shared" si="4"/>
        <v>0</v>
      </c>
      <c r="W54" s="76">
        <f t="shared" si="5"/>
        <v>10</v>
      </c>
      <c r="X54" s="93">
        <f t="shared" si="6"/>
        <v>21980000</v>
      </c>
      <c r="Y54" s="93">
        <v>20800000</v>
      </c>
      <c r="Z54" s="171">
        <f t="shared" si="7"/>
        <v>5.6730769230769251E-2</v>
      </c>
      <c r="AA54" s="4">
        <v>1033762889</v>
      </c>
      <c r="AB54" s="134" t="s">
        <v>418</v>
      </c>
      <c r="AC54" s="80">
        <f t="shared" si="8"/>
        <v>21980000</v>
      </c>
      <c r="AD54" s="81" t="s">
        <v>243</v>
      </c>
      <c r="AE54" s="82" t="s">
        <v>1</v>
      </c>
      <c r="AF54" s="83" t="s">
        <v>361</v>
      </c>
      <c r="AG54" s="83"/>
      <c r="AH54" s="84" t="str">
        <f t="shared" si="12"/>
        <v>CON-043</v>
      </c>
      <c r="AI54" s="81">
        <v>80111600</v>
      </c>
      <c r="AJ54" s="46" t="s">
        <v>168</v>
      </c>
      <c r="AK54" s="47">
        <f t="shared" si="9"/>
        <v>45327</v>
      </c>
      <c r="AL54" s="47">
        <f t="shared" si="10"/>
        <v>45327</v>
      </c>
      <c r="AM54" s="233">
        <f t="shared" si="13"/>
        <v>10</v>
      </c>
      <c r="AN54" s="48" t="s">
        <v>241</v>
      </c>
      <c r="AO54" s="49" t="s">
        <v>242</v>
      </c>
      <c r="AP54" s="50">
        <f t="shared" si="14"/>
        <v>21980000</v>
      </c>
      <c r="AQ54" s="50">
        <f t="shared" si="11"/>
        <v>21980000</v>
      </c>
      <c r="AR54" s="48" t="s">
        <v>244</v>
      </c>
      <c r="AS54" s="48" t="s">
        <v>245</v>
      </c>
      <c r="AT54" s="51" t="s">
        <v>246</v>
      </c>
      <c r="AU54" s="52" t="s">
        <v>247</v>
      </c>
      <c r="AV54" s="53" t="str">
        <f t="shared" si="16"/>
        <v>FACULTAD DE CIENCIA Y TECNOLOGÍA</v>
      </c>
      <c r="AW54" s="54" t="s">
        <v>248</v>
      </c>
      <c r="AX54" s="55" t="s">
        <v>249</v>
      </c>
      <c r="AY54" s="48" t="s">
        <v>244</v>
      </c>
      <c r="AZ54" s="48" t="s">
        <v>244</v>
      </c>
      <c r="BA54" s="56" t="s">
        <v>250</v>
      </c>
      <c r="BB54" s="57" t="s">
        <v>251</v>
      </c>
      <c r="BC54" s="57" t="s">
        <v>252</v>
      </c>
      <c r="BD54" s="57" t="s">
        <v>250</v>
      </c>
      <c r="BE54" s="57"/>
      <c r="BF54" s="57"/>
    </row>
    <row r="55" spans="1:58" ht="45" x14ac:dyDescent="0.2">
      <c r="A55" s="44" t="s">
        <v>294</v>
      </c>
      <c r="B55" s="45" t="s">
        <v>63</v>
      </c>
      <c r="C55" s="45" t="s">
        <v>78</v>
      </c>
      <c r="D55" s="45" t="s">
        <v>79</v>
      </c>
      <c r="E55" s="45"/>
      <c r="F55" s="45" t="s">
        <v>383</v>
      </c>
      <c r="G55" s="45" t="s">
        <v>374</v>
      </c>
      <c r="H55" s="45" t="s">
        <v>69</v>
      </c>
      <c r="I55" s="45">
        <v>3</v>
      </c>
      <c r="J55" s="75">
        <v>3400000</v>
      </c>
      <c r="K55" s="172">
        <f t="shared" si="2"/>
        <v>5.8823529411764719E-2</v>
      </c>
      <c r="L55" s="166">
        <f>IF(H55="OTRO",(J55*1.05),VLOOKUP((I55&amp;H55),'ESCALAS Salarios'!$D$2:$F$30,3,0))</f>
        <v>3600000</v>
      </c>
      <c r="M55" s="45">
        <v>1</v>
      </c>
      <c r="N55" s="45" t="s">
        <v>485</v>
      </c>
      <c r="O55" s="59">
        <v>45327</v>
      </c>
      <c r="P55" s="58">
        <v>45641</v>
      </c>
      <c r="Q55" s="59">
        <f>VLOOKUP($A55,[6]Contratistas!$A$3:$R$117,10,0)</f>
        <v>45327</v>
      </c>
      <c r="R55" s="237">
        <f>VLOOKUP($A55,[6]Contratistas!$A$3:$R$117,11,0)</f>
        <v>45641</v>
      </c>
      <c r="S55" s="78">
        <f t="shared" si="3"/>
        <v>37680000</v>
      </c>
      <c r="T55" s="59"/>
      <c r="U55" s="59"/>
      <c r="V55" s="78">
        <f t="shared" si="4"/>
        <v>0</v>
      </c>
      <c r="W55" s="76">
        <f t="shared" si="5"/>
        <v>10</v>
      </c>
      <c r="X55" s="93">
        <f t="shared" si="6"/>
        <v>37680000</v>
      </c>
      <c r="Y55" s="93">
        <v>35926666.666666664</v>
      </c>
      <c r="Z55" s="171">
        <f t="shared" si="7"/>
        <v>4.8803117461495793E-2</v>
      </c>
      <c r="AA55" s="4">
        <v>1031140889</v>
      </c>
      <c r="AB55" s="136" t="s">
        <v>419</v>
      </c>
      <c r="AC55" s="80">
        <f t="shared" si="8"/>
        <v>37680000</v>
      </c>
      <c r="AD55" s="81" t="s">
        <v>243</v>
      </c>
      <c r="AE55" s="82" t="s">
        <v>1</v>
      </c>
      <c r="AF55" s="83" t="s">
        <v>361</v>
      </c>
      <c r="AG55" s="83"/>
      <c r="AH55" s="84" t="str">
        <f t="shared" si="12"/>
        <v>CON-044</v>
      </c>
      <c r="AI55" s="81">
        <v>80111600</v>
      </c>
      <c r="AJ55" s="46" t="s">
        <v>366</v>
      </c>
      <c r="AK55" s="47">
        <f t="shared" si="9"/>
        <v>45327</v>
      </c>
      <c r="AL55" s="47">
        <f t="shared" si="10"/>
        <v>45327</v>
      </c>
      <c r="AM55" s="233">
        <f t="shared" si="13"/>
        <v>10</v>
      </c>
      <c r="AN55" s="48" t="s">
        <v>241</v>
      </c>
      <c r="AO55" s="49" t="s">
        <v>242</v>
      </c>
      <c r="AP55" s="50">
        <f t="shared" si="14"/>
        <v>37680000</v>
      </c>
      <c r="AQ55" s="50">
        <f t="shared" si="11"/>
        <v>37680000</v>
      </c>
      <c r="AR55" s="48" t="s">
        <v>244</v>
      </c>
      <c r="AS55" s="48" t="s">
        <v>245</v>
      </c>
      <c r="AT55" s="51" t="s">
        <v>246</v>
      </c>
      <c r="AU55" s="52" t="s">
        <v>247</v>
      </c>
      <c r="AV55" s="53" t="str">
        <f t="shared" si="16"/>
        <v>GRUPO EDITORIAL</v>
      </c>
      <c r="AW55" s="54" t="s">
        <v>248</v>
      </c>
      <c r="AX55" s="55" t="s">
        <v>249</v>
      </c>
      <c r="AY55" s="48" t="s">
        <v>244</v>
      </c>
      <c r="AZ55" s="48" t="s">
        <v>244</v>
      </c>
      <c r="BA55" s="56" t="s">
        <v>250</v>
      </c>
      <c r="BB55" s="57" t="s">
        <v>251</v>
      </c>
      <c r="BC55" s="57" t="s">
        <v>252</v>
      </c>
      <c r="BD55" s="57" t="s">
        <v>250</v>
      </c>
      <c r="BE55" s="57"/>
      <c r="BF55" s="57"/>
    </row>
    <row r="56" spans="1:58" ht="45" x14ac:dyDescent="0.2">
      <c r="A56" s="44" t="s">
        <v>295</v>
      </c>
      <c r="B56" s="45" t="s">
        <v>63</v>
      </c>
      <c r="C56" s="45" t="s">
        <v>78</v>
      </c>
      <c r="D56" s="45" t="s">
        <v>79</v>
      </c>
      <c r="E56" s="45"/>
      <c r="F56" s="45" t="s">
        <v>383</v>
      </c>
      <c r="G56" s="45" t="s">
        <v>374</v>
      </c>
      <c r="H56" s="45" t="s">
        <v>69</v>
      </c>
      <c r="I56" s="45">
        <v>3</v>
      </c>
      <c r="J56" s="75">
        <v>3400000</v>
      </c>
      <c r="K56" s="172">
        <f t="shared" si="2"/>
        <v>5.8823529411764719E-2</v>
      </c>
      <c r="L56" s="166">
        <f>IF(H56="OTRO",(J56*1.05),VLOOKUP((I56&amp;H56),'ESCALAS Salarios'!$D$2:$F$30,3,0))</f>
        <v>3600000</v>
      </c>
      <c r="M56" s="45">
        <v>1</v>
      </c>
      <c r="N56" s="45" t="s">
        <v>485</v>
      </c>
      <c r="O56" s="59">
        <v>45327</v>
      </c>
      <c r="P56" s="58">
        <v>45641</v>
      </c>
      <c r="Q56" s="59">
        <f>VLOOKUP($A56,[6]Contratistas!$A$3:$R$117,10,0)</f>
        <v>45327</v>
      </c>
      <c r="R56" s="237">
        <f>VLOOKUP($A56,[6]Contratistas!$A$3:$R$117,11,0)</f>
        <v>45641</v>
      </c>
      <c r="S56" s="78">
        <f t="shared" si="3"/>
        <v>37680000</v>
      </c>
      <c r="T56" s="59"/>
      <c r="U56" s="59"/>
      <c r="V56" s="78">
        <f t="shared" si="4"/>
        <v>0</v>
      </c>
      <c r="W56" s="76">
        <f t="shared" si="5"/>
        <v>10</v>
      </c>
      <c r="X56" s="93">
        <f t="shared" si="6"/>
        <v>37680000</v>
      </c>
      <c r="Y56" s="93">
        <v>35926666.666666664</v>
      </c>
      <c r="Z56" s="171">
        <f t="shared" si="7"/>
        <v>4.8803117461495793E-2</v>
      </c>
      <c r="AA56" s="4">
        <v>51974426</v>
      </c>
      <c r="AB56" s="136" t="s">
        <v>420</v>
      </c>
      <c r="AC56" s="80">
        <f t="shared" si="8"/>
        <v>37680000</v>
      </c>
      <c r="AD56" s="81" t="s">
        <v>243</v>
      </c>
      <c r="AE56" s="82" t="s">
        <v>1</v>
      </c>
      <c r="AF56" s="83" t="s">
        <v>361</v>
      </c>
      <c r="AG56" s="83"/>
      <c r="AH56" s="84" t="str">
        <f t="shared" si="12"/>
        <v>CON-045</v>
      </c>
      <c r="AI56" s="81">
        <v>80111600</v>
      </c>
      <c r="AJ56" s="46" t="s">
        <v>367</v>
      </c>
      <c r="AK56" s="47">
        <f t="shared" si="9"/>
        <v>45327</v>
      </c>
      <c r="AL56" s="47">
        <f t="shared" si="10"/>
        <v>45327</v>
      </c>
      <c r="AM56" s="233">
        <f t="shared" si="13"/>
        <v>10</v>
      </c>
      <c r="AN56" s="48" t="s">
        <v>241</v>
      </c>
      <c r="AO56" s="49" t="s">
        <v>242</v>
      </c>
      <c r="AP56" s="50">
        <f t="shared" si="14"/>
        <v>37680000</v>
      </c>
      <c r="AQ56" s="50">
        <f t="shared" si="11"/>
        <v>37680000</v>
      </c>
      <c r="AR56" s="48" t="s">
        <v>244</v>
      </c>
      <c r="AS56" s="48" t="s">
        <v>245</v>
      </c>
      <c r="AT56" s="51" t="s">
        <v>246</v>
      </c>
      <c r="AU56" s="52" t="s">
        <v>247</v>
      </c>
      <c r="AV56" s="53" t="str">
        <f t="shared" si="16"/>
        <v>GRUPO EDITORIAL</v>
      </c>
      <c r="AW56" s="54" t="s">
        <v>248</v>
      </c>
      <c r="AX56" s="55" t="s">
        <v>249</v>
      </c>
      <c r="AY56" s="48" t="s">
        <v>244</v>
      </c>
      <c r="AZ56" s="48" t="s">
        <v>244</v>
      </c>
      <c r="BA56" s="56" t="s">
        <v>250</v>
      </c>
      <c r="BB56" s="57" t="s">
        <v>251</v>
      </c>
      <c r="BC56" s="57" t="s">
        <v>252</v>
      </c>
      <c r="BD56" s="57" t="s">
        <v>250</v>
      </c>
      <c r="BE56" s="57"/>
      <c r="BF56" s="57"/>
    </row>
    <row r="57" spans="1:58" ht="33.75" x14ac:dyDescent="0.2">
      <c r="A57" s="44" t="s">
        <v>630</v>
      </c>
      <c r="B57" s="45" t="s">
        <v>63</v>
      </c>
      <c r="C57" s="45" t="s">
        <v>78</v>
      </c>
      <c r="D57" s="45" t="s">
        <v>79</v>
      </c>
      <c r="E57" s="45"/>
      <c r="F57" s="45" t="s">
        <v>383</v>
      </c>
      <c r="G57" s="45" t="s">
        <v>374</v>
      </c>
      <c r="H57" s="45" t="s">
        <v>69</v>
      </c>
      <c r="I57" s="45">
        <v>1</v>
      </c>
      <c r="J57" s="75">
        <v>3000000</v>
      </c>
      <c r="K57" s="172">
        <f t="shared" si="2"/>
        <v>3.3333333333333437E-2</v>
      </c>
      <c r="L57" s="166">
        <f>IF(H57="OTRO",(J57*1.05),VLOOKUP((I57&amp;H57),'ESCALAS Salarios'!$D$2:$F$30,3,0))</f>
        <v>3100000</v>
      </c>
      <c r="M57" s="45">
        <v>1</v>
      </c>
      <c r="N57" s="45" t="s">
        <v>485</v>
      </c>
      <c r="O57" s="59">
        <v>45327</v>
      </c>
      <c r="P57" s="58">
        <v>45641</v>
      </c>
      <c r="Q57" s="59">
        <f>VLOOKUP($A57,[6]Contratistas!$A$3:$R$117,10,0)</f>
        <v>45327</v>
      </c>
      <c r="R57" s="237">
        <f>VLOOKUP($A57,[6]Contratistas!$A$3:$R$117,11,0)</f>
        <v>45641</v>
      </c>
      <c r="S57" s="78">
        <f t="shared" si="3"/>
        <v>32446666.666666668</v>
      </c>
      <c r="T57" s="59"/>
      <c r="U57" s="59"/>
      <c r="V57" s="78">
        <f t="shared" si="4"/>
        <v>0</v>
      </c>
      <c r="W57" s="76">
        <f t="shared" si="5"/>
        <v>10</v>
      </c>
      <c r="X57" s="93">
        <f t="shared" si="6"/>
        <v>32446666.666666668</v>
      </c>
      <c r="Y57" s="93">
        <v>31700000</v>
      </c>
      <c r="Z57" s="171">
        <f t="shared" si="7"/>
        <v>2.3554153522607812E-2</v>
      </c>
      <c r="AA57" s="4">
        <v>1000950846</v>
      </c>
      <c r="AB57" s="136" t="s">
        <v>421</v>
      </c>
      <c r="AC57" s="80">
        <f t="shared" si="8"/>
        <v>32446666.666666668</v>
      </c>
      <c r="AD57" s="81" t="s">
        <v>243</v>
      </c>
      <c r="AE57" s="82" t="s">
        <v>1</v>
      </c>
      <c r="AF57" s="83" t="s">
        <v>361</v>
      </c>
      <c r="AG57" s="83"/>
      <c r="AH57" s="84" t="str">
        <f t="shared" si="12"/>
        <v>CON-046</v>
      </c>
      <c r="AI57" s="81">
        <v>80111600</v>
      </c>
      <c r="AJ57" s="46" t="s">
        <v>368</v>
      </c>
      <c r="AK57" s="47">
        <f t="shared" si="9"/>
        <v>45327</v>
      </c>
      <c r="AL57" s="47">
        <f t="shared" si="10"/>
        <v>45327</v>
      </c>
      <c r="AM57" s="233">
        <f t="shared" si="13"/>
        <v>10</v>
      </c>
      <c r="AN57" s="48" t="s">
        <v>241</v>
      </c>
      <c r="AO57" s="49" t="s">
        <v>242</v>
      </c>
      <c r="AP57" s="50">
        <f t="shared" si="14"/>
        <v>32446666.666666668</v>
      </c>
      <c r="AQ57" s="50">
        <f t="shared" si="11"/>
        <v>32446666.666666668</v>
      </c>
      <c r="AR57" s="48" t="s">
        <v>244</v>
      </c>
      <c r="AS57" s="48" t="s">
        <v>245</v>
      </c>
      <c r="AT57" s="51" t="s">
        <v>246</v>
      </c>
      <c r="AU57" s="52" t="s">
        <v>247</v>
      </c>
      <c r="AV57" s="53" t="str">
        <f t="shared" si="16"/>
        <v>GRUPO EDITORIAL</v>
      </c>
      <c r="AW57" s="54" t="s">
        <v>248</v>
      </c>
      <c r="AX57" s="55" t="s">
        <v>249</v>
      </c>
      <c r="AY57" s="48" t="s">
        <v>244</v>
      </c>
      <c r="AZ57" s="48" t="s">
        <v>244</v>
      </c>
      <c r="BA57" s="56" t="s">
        <v>250</v>
      </c>
      <c r="BB57" s="57" t="s">
        <v>251</v>
      </c>
      <c r="BC57" s="57" t="s">
        <v>252</v>
      </c>
      <c r="BD57" s="57" t="s">
        <v>250</v>
      </c>
      <c r="BE57" s="57"/>
      <c r="BF57" s="57"/>
    </row>
    <row r="58" spans="1:58" ht="33.75" x14ac:dyDescent="0.2">
      <c r="A58" s="44" t="s">
        <v>296</v>
      </c>
      <c r="B58" s="45" t="s">
        <v>63</v>
      </c>
      <c r="C58" s="45" t="s">
        <v>78</v>
      </c>
      <c r="D58" s="45" t="s">
        <v>79</v>
      </c>
      <c r="E58" s="45"/>
      <c r="F58" s="45" t="s">
        <v>383</v>
      </c>
      <c r="G58" s="45" t="s">
        <v>374</v>
      </c>
      <c r="H58" s="45" t="s">
        <v>69</v>
      </c>
      <c r="I58" s="45">
        <v>1</v>
      </c>
      <c r="J58" s="75">
        <v>3000000</v>
      </c>
      <c r="K58" s="172">
        <f t="shared" si="2"/>
        <v>3.3333333333333437E-2</v>
      </c>
      <c r="L58" s="166">
        <f>IF(H58="OTRO",(J58*1.05),VLOOKUP((I58&amp;H58),'ESCALAS Salarios'!$D$2:$F$30,3,0))</f>
        <v>3100000</v>
      </c>
      <c r="M58" s="45">
        <v>1</v>
      </c>
      <c r="N58" s="45" t="s">
        <v>485</v>
      </c>
      <c r="O58" s="59">
        <v>45327</v>
      </c>
      <c r="P58" s="58">
        <v>45641</v>
      </c>
      <c r="Q58" s="59">
        <f>VLOOKUP($A58,[6]Contratistas!$A$3:$R$117,10,0)</f>
        <v>45327</v>
      </c>
      <c r="R58" s="237">
        <f>VLOOKUP($A58,[6]Contratistas!$A$3:$R$117,11,0)</f>
        <v>45641</v>
      </c>
      <c r="S58" s="78">
        <f t="shared" si="3"/>
        <v>32446666.666666668</v>
      </c>
      <c r="T58" s="97"/>
      <c r="U58" s="97"/>
      <c r="V58" s="78">
        <f t="shared" si="4"/>
        <v>0</v>
      </c>
      <c r="W58" s="76">
        <f t="shared" si="5"/>
        <v>10</v>
      </c>
      <c r="X58" s="93">
        <f t="shared" si="6"/>
        <v>32446666.666666668</v>
      </c>
      <c r="Y58" s="93">
        <v>27000000</v>
      </c>
      <c r="Z58" s="171">
        <f t="shared" si="7"/>
        <v>0.20172839506172835</v>
      </c>
      <c r="AA58" s="4">
        <v>1019128363</v>
      </c>
      <c r="AB58" s="136" t="s">
        <v>422</v>
      </c>
      <c r="AC58" s="80">
        <f t="shared" si="8"/>
        <v>32446666.666666668</v>
      </c>
      <c r="AD58" s="81" t="s">
        <v>243</v>
      </c>
      <c r="AE58" s="82" t="s">
        <v>1</v>
      </c>
      <c r="AF58" s="83" t="s">
        <v>361</v>
      </c>
      <c r="AG58" s="83"/>
      <c r="AH58" s="84" t="str">
        <f t="shared" si="12"/>
        <v>CON-047</v>
      </c>
      <c r="AI58" s="81">
        <v>80111600</v>
      </c>
      <c r="AJ58" s="46" t="s">
        <v>387</v>
      </c>
      <c r="AK58" s="47">
        <f t="shared" si="9"/>
        <v>45327</v>
      </c>
      <c r="AL58" s="47">
        <f t="shared" si="10"/>
        <v>45327</v>
      </c>
      <c r="AM58" s="233">
        <f t="shared" si="13"/>
        <v>10</v>
      </c>
      <c r="AN58" s="48" t="s">
        <v>241</v>
      </c>
      <c r="AO58" s="49" t="s">
        <v>242</v>
      </c>
      <c r="AP58" s="50">
        <f t="shared" si="14"/>
        <v>32446666.666666668</v>
      </c>
      <c r="AQ58" s="50">
        <f t="shared" si="11"/>
        <v>32446666.666666668</v>
      </c>
      <c r="AR58" s="48" t="s">
        <v>244</v>
      </c>
      <c r="AS58" s="48" t="s">
        <v>245</v>
      </c>
      <c r="AT58" s="51" t="s">
        <v>246</v>
      </c>
      <c r="AU58" s="52" t="s">
        <v>247</v>
      </c>
      <c r="AV58" s="53" t="str">
        <f t="shared" si="16"/>
        <v>GRUPO EDITORIAL</v>
      </c>
      <c r="AW58" s="54" t="s">
        <v>248</v>
      </c>
      <c r="AX58" s="55" t="s">
        <v>249</v>
      </c>
      <c r="AY58" s="48" t="s">
        <v>244</v>
      </c>
      <c r="AZ58" s="48" t="s">
        <v>244</v>
      </c>
      <c r="BA58" s="56" t="s">
        <v>250</v>
      </c>
      <c r="BB58" s="57" t="s">
        <v>251</v>
      </c>
      <c r="BC58" s="57" t="s">
        <v>252</v>
      </c>
      <c r="BD58" s="57" t="s">
        <v>250</v>
      </c>
      <c r="BE58" s="57"/>
      <c r="BF58" s="57"/>
    </row>
    <row r="59" spans="1:58" ht="45" x14ac:dyDescent="0.2">
      <c r="A59" s="44" t="s">
        <v>297</v>
      </c>
      <c r="B59" s="45" t="s">
        <v>63</v>
      </c>
      <c r="C59" s="45" t="s">
        <v>78</v>
      </c>
      <c r="D59" s="45" t="s">
        <v>79</v>
      </c>
      <c r="E59" s="45"/>
      <c r="F59" s="45" t="s">
        <v>383</v>
      </c>
      <c r="G59" s="45" t="s">
        <v>374</v>
      </c>
      <c r="H59" s="45" t="s">
        <v>69</v>
      </c>
      <c r="I59" s="45">
        <v>4</v>
      </c>
      <c r="J59" s="75">
        <v>3750000</v>
      </c>
      <c r="K59" s="172">
        <f t="shared" si="2"/>
        <v>4.0000000000000036E-2</v>
      </c>
      <c r="L59" s="166">
        <f>IF(H59="OTRO",(J59*1.05),VLOOKUP((I59&amp;H59),'ESCALAS Salarios'!$D$2:$F$30,3,0))</f>
        <v>3900000</v>
      </c>
      <c r="M59" s="45">
        <v>1</v>
      </c>
      <c r="N59" s="45" t="s">
        <v>485</v>
      </c>
      <c r="O59" s="59">
        <v>45327</v>
      </c>
      <c r="P59" s="58">
        <v>45641</v>
      </c>
      <c r="Q59" s="59">
        <f>VLOOKUP($A59,[6]Contratistas!$A$3:$R$117,10,0)</f>
        <v>45327</v>
      </c>
      <c r="R59" s="237">
        <f>VLOOKUP($A59,[6]Contratistas!$A$3:$R$117,11,0)</f>
        <v>45641</v>
      </c>
      <c r="S59" s="78">
        <f t="shared" si="3"/>
        <v>40820000</v>
      </c>
      <c r="T59" s="59"/>
      <c r="U59" s="59"/>
      <c r="V59" s="78">
        <f t="shared" si="4"/>
        <v>0</v>
      </c>
      <c r="W59" s="76">
        <f t="shared" si="5"/>
        <v>10</v>
      </c>
      <c r="X59" s="93">
        <f t="shared" si="6"/>
        <v>40820000</v>
      </c>
      <c r="Y59" s="93">
        <v>39625000</v>
      </c>
      <c r="Z59" s="171">
        <f t="shared" si="7"/>
        <v>3.0157728706624587E-2</v>
      </c>
      <c r="AA59" s="4">
        <v>1032380730</v>
      </c>
      <c r="AB59" s="136" t="s">
        <v>423</v>
      </c>
      <c r="AC59" s="80">
        <f t="shared" si="8"/>
        <v>40820000</v>
      </c>
      <c r="AD59" s="81" t="s">
        <v>243</v>
      </c>
      <c r="AE59" s="82" t="s">
        <v>1</v>
      </c>
      <c r="AF59" s="83" t="s">
        <v>361</v>
      </c>
      <c r="AG59" s="83"/>
      <c r="AH59" s="84" t="str">
        <f t="shared" si="12"/>
        <v>CON-048</v>
      </c>
      <c r="AI59" s="81">
        <v>80111600</v>
      </c>
      <c r="AJ59" s="46" t="s">
        <v>369</v>
      </c>
      <c r="AK59" s="47">
        <f t="shared" si="9"/>
        <v>45327</v>
      </c>
      <c r="AL59" s="47">
        <f t="shared" si="10"/>
        <v>45327</v>
      </c>
      <c r="AM59" s="233">
        <f t="shared" si="13"/>
        <v>10</v>
      </c>
      <c r="AN59" s="48" t="s">
        <v>241</v>
      </c>
      <c r="AO59" s="49" t="s">
        <v>242</v>
      </c>
      <c r="AP59" s="50">
        <f t="shared" si="14"/>
        <v>40820000</v>
      </c>
      <c r="AQ59" s="50">
        <f t="shared" si="11"/>
        <v>40820000</v>
      </c>
      <c r="AR59" s="48" t="s">
        <v>244</v>
      </c>
      <c r="AS59" s="48" t="s">
        <v>245</v>
      </c>
      <c r="AT59" s="51" t="s">
        <v>246</v>
      </c>
      <c r="AU59" s="52" t="s">
        <v>247</v>
      </c>
      <c r="AV59" s="53" t="str">
        <f t="shared" si="16"/>
        <v>GRUPO EDITORIAL</v>
      </c>
      <c r="AW59" s="54" t="s">
        <v>248</v>
      </c>
      <c r="AX59" s="55" t="s">
        <v>249</v>
      </c>
      <c r="AY59" s="48" t="s">
        <v>244</v>
      </c>
      <c r="AZ59" s="48" t="s">
        <v>244</v>
      </c>
      <c r="BA59" s="56" t="s">
        <v>250</v>
      </c>
      <c r="BB59" s="57" t="s">
        <v>251</v>
      </c>
      <c r="BC59" s="57" t="s">
        <v>252</v>
      </c>
      <c r="BD59" s="57" t="s">
        <v>250</v>
      </c>
      <c r="BE59" s="57"/>
      <c r="BF59" s="57"/>
    </row>
    <row r="60" spans="1:58" ht="45" x14ac:dyDescent="0.2">
      <c r="A60" s="44" t="s">
        <v>631</v>
      </c>
      <c r="B60" s="45" t="s">
        <v>63</v>
      </c>
      <c r="C60" s="45" t="s">
        <v>78</v>
      </c>
      <c r="D60" s="45" t="s">
        <v>79</v>
      </c>
      <c r="E60" s="45"/>
      <c r="F60" s="45" t="s">
        <v>383</v>
      </c>
      <c r="G60" s="45" t="s">
        <v>374</v>
      </c>
      <c r="H60" s="45" t="s">
        <v>67</v>
      </c>
      <c r="I60" s="45">
        <v>1</v>
      </c>
      <c r="J60" s="75">
        <v>4550000</v>
      </c>
      <c r="K60" s="172">
        <f t="shared" si="2"/>
        <v>3.2967032967033072E-2</v>
      </c>
      <c r="L60" s="166">
        <f>IF(H60="OTRO",(J60*1.05),VLOOKUP((I60&amp;H60),'ESCALAS Salarios'!$D$2:$F$30,3,0))</f>
        <v>4700000</v>
      </c>
      <c r="M60" s="45">
        <v>1</v>
      </c>
      <c r="N60" s="45" t="s">
        <v>485</v>
      </c>
      <c r="O60" s="59">
        <v>45327</v>
      </c>
      <c r="P60" s="58">
        <v>45641</v>
      </c>
      <c r="Q60" s="59">
        <f>VLOOKUP($A60,[6]Contratistas!$A$3:$R$117,10,0)</f>
        <v>45327</v>
      </c>
      <c r="R60" s="237">
        <f>VLOOKUP($A60,[6]Contratistas!$A$3:$R$117,11,0)</f>
        <v>45641</v>
      </c>
      <c r="S60" s="78">
        <f t="shared" si="3"/>
        <v>49193333.333333336</v>
      </c>
      <c r="T60" s="59"/>
      <c r="U60" s="59"/>
      <c r="V60" s="78">
        <f t="shared" si="4"/>
        <v>0</v>
      </c>
      <c r="W60" s="76">
        <f t="shared" si="5"/>
        <v>10</v>
      </c>
      <c r="X60" s="93">
        <f t="shared" si="6"/>
        <v>49193333.333333336</v>
      </c>
      <c r="Y60" s="93">
        <v>48078333.333333336</v>
      </c>
      <c r="Z60" s="171">
        <f t="shared" si="7"/>
        <v>2.3191319721288073E-2</v>
      </c>
      <c r="AA60" s="4">
        <v>7177488</v>
      </c>
      <c r="AB60" s="136" t="s">
        <v>24</v>
      </c>
      <c r="AC60" s="80">
        <f t="shared" si="8"/>
        <v>49193333.333333336</v>
      </c>
      <c r="AD60" s="81" t="s">
        <v>243</v>
      </c>
      <c r="AE60" s="82" t="s">
        <v>1</v>
      </c>
      <c r="AF60" s="83" t="s">
        <v>361</v>
      </c>
      <c r="AG60" s="83"/>
      <c r="AH60" s="84" t="str">
        <f t="shared" si="12"/>
        <v>CON-049</v>
      </c>
      <c r="AI60" s="81">
        <v>80111600</v>
      </c>
      <c r="AJ60" s="46" t="s">
        <v>370</v>
      </c>
      <c r="AK60" s="47">
        <f t="shared" si="9"/>
        <v>45327</v>
      </c>
      <c r="AL60" s="47">
        <f t="shared" si="10"/>
        <v>45327</v>
      </c>
      <c r="AM60" s="233">
        <f t="shared" si="13"/>
        <v>10</v>
      </c>
      <c r="AN60" s="48" t="s">
        <v>241</v>
      </c>
      <c r="AO60" s="49" t="s">
        <v>242</v>
      </c>
      <c r="AP60" s="50">
        <f t="shared" si="14"/>
        <v>49193333.333333336</v>
      </c>
      <c r="AQ60" s="50">
        <f t="shared" si="11"/>
        <v>49193333.333333336</v>
      </c>
      <c r="AR60" s="48" t="s">
        <v>244</v>
      </c>
      <c r="AS60" s="48" t="s">
        <v>245</v>
      </c>
      <c r="AT60" s="51" t="s">
        <v>246</v>
      </c>
      <c r="AU60" s="52" t="s">
        <v>247</v>
      </c>
      <c r="AV60" s="53" t="str">
        <f t="shared" si="16"/>
        <v>GRUPO EDITORIAL</v>
      </c>
      <c r="AW60" s="54" t="s">
        <v>248</v>
      </c>
      <c r="AX60" s="55" t="s">
        <v>249</v>
      </c>
      <c r="AY60" s="48" t="s">
        <v>244</v>
      </c>
      <c r="AZ60" s="48" t="s">
        <v>244</v>
      </c>
      <c r="BA60" s="56" t="s">
        <v>250</v>
      </c>
      <c r="BB60" s="57" t="s">
        <v>251</v>
      </c>
      <c r="BC60" s="57" t="s">
        <v>252</v>
      </c>
      <c r="BD60" s="57" t="s">
        <v>250</v>
      </c>
      <c r="BE60" s="57"/>
      <c r="BF60" s="57"/>
    </row>
    <row r="61" spans="1:58" ht="45" x14ac:dyDescent="0.2">
      <c r="A61" s="44" t="s">
        <v>298</v>
      </c>
      <c r="B61" s="45" t="s">
        <v>63</v>
      </c>
      <c r="C61" s="45" t="s">
        <v>25</v>
      </c>
      <c r="D61" s="45" t="s">
        <v>80</v>
      </c>
      <c r="E61" s="45"/>
      <c r="F61" s="45" t="s">
        <v>383</v>
      </c>
      <c r="G61" s="45" t="s">
        <v>374</v>
      </c>
      <c r="H61" s="45" t="s">
        <v>67</v>
      </c>
      <c r="I61" s="45">
        <v>6</v>
      </c>
      <c r="J61" s="95">
        <v>6000000</v>
      </c>
      <c r="K61" s="172">
        <f t="shared" si="2"/>
        <v>3.3333333333333437E-2</v>
      </c>
      <c r="L61" s="166">
        <f>IF(H61="OTRO",(J61*1.05),VLOOKUP((I61&amp;H61),'ESCALAS Salarios'!$D$2:$F$30,3,0))</f>
        <v>6200000</v>
      </c>
      <c r="M61" s="45">
        <v>1</v>
      </c>
      <c r="N61" s="45" t="s">
        <v>485</v>
      </c>
      <c r="O61" s="59">
        <v>45327</v>
      </c>
      <c r="P61" s="58">
        <v>45653</v>
      </c>
      <c r="Q61" s="59">
        <f>VLOOKUP($A61,[6]Contratistas!$A$3:$R$117,10,0)</f>
        <v>45327</v>
      </c>
      <c r="R61" s="237">
        <f>VLOOKUP($A61,[6]Contratistas!$A$3:$R$117,11,0)</f>
        <v>45653</v>
      </c>
      <c r="S61" s="78">
        <f t="shared" si="3"/>
        <v>67373333.333333343</v>
      </c>
      <c r="T61" s="59"/>
      <c r="U61" s="59"/>
      <c r="V61" s="78">
        <f t="shared" si="4"/>
        <v>0</v>
      </c>
      <c r="W61" s="76">
        <f t="shared" si="5"/>
        <v>11</v>
      </c>
      <c r="X61" s="93">
        <f t="shared" si="6"/>
        <v>67373333.333333343</v>
      </c>
      <c r="Y61" s="93">
        <v>57000000</v>
      </c>
      <c r="Z61" s="171">
        <f t="shared" si="7"/>
        <v>0.18198830409356748</v>
      </c>
      <c r="AA61" s="4">
        <v>52209009</v>
      </c>
      <c r="AB61" s="136" t="s">
        <v>424</v>
      </c>
      <c r="AC61" s="80">
        <f t="shared" si="8"/>
        <v>67373333.333333343</v>
      </c>
      <c r="AD61" s="81" t="s">
        <v>243</v>
      </c>
      <c r="AE61" s="82" t="s">
        <v>1</v>
      </c>
      <c r="AF61" s="83" t="s">
        <v>361</v>
      </c>
      <c r="AG61" s="83"/>
      <c r="AH61" s="84" t="str">
        <f t="shared" si="12"/>
        <v>CON-050</v>
      </c>
      <c r="AI61" s="81">
        <v>80111600</v>
      </c>
      <c r="AJ61" s="46" t="s">
        <v>386</v>
      </c>
      <c r="AK61" s="47">
        <f t="shared" si="9"/>
        <v>45327</v>
      </c>
      <c r="AL61" s="47">
        <f t="shared" si="10"/>
        <v>45327</v>
      </c>
      <c r="AM61" s="233">
        <f t="shared" si="13"/>
        <v>11</v>
      </c>
      <c r="AN61" s="48" t="s">
        <v>241</v>
      </c>
      <c r="AO61" s="49" t="s">
        <v>242</v>
      </c>
      <c r="AP61" s="50">
        <f t="shared" si="14"/>
        <v>67373333.333333343</v>
      </c>
      <c r="AQ61" s="50">
        <f t="shared" si="11"/>
        <v>67373333.333333343</v>
      </c>
      <c r="AR61" s="48" t="s">
        <v>244</v>
      </c>
      <c r="AS61" s="48" t="s">
        <v>245</v>
      </c>
      <c r="AT61" s="51" t="s">
        <v>246</v>
      </c>
      <c r="AU61" s="52" t="s">
        <v>247</v>
      </c>
      <c r="AV61" s="53" t="str">
        <f t="shared" si="16"/>
        <v>DESPACHO VAD</v>
      </c>
      <c r="AW61" s="54" t="s">
        <v>248</v>
      </c>
      <c r="AX61" s="55" t="s">
        <v>249</v>
      </c>
      <c r="AY61" s="48" t="s">
        <v>244</v>
      </c>
      <c r="AZ61" s="48" t="s">
        <v>244</v>
      </c>
      <c r="BA61" s="56" t="s">
        <v>250</v>
      </c>
      <c r="BB61" s="57" t="s">
        <v>251</v>
      </c>
      <c r="BC61" s="57" t="s">
        <v>252</v>
      </c>
      <c r="BD61" s="57" t="s">
        <v>250</v>
      </c>
      <c r="BE61" s="57"/>
      <c r="BF61" s="57"/>
    </row>
    <row r="62" spans="1:58" ht="56.25" x14ac:dyDescent="0.2">
      <c r="A62" s="44" t="s">
        <v>299</v>
      </c>
      <c r="B62" s="45" t="s">
        <v>63</v>
      </c>
      <c r="C62" s="45" t="s">
        <v>25</v>
      </c>
      <c r="D62" s="45" t="s">
        <v>137</v>
      </c>
      <c r="E62" s="45"/>
      <c r="F62" s="45" t="s">
        <v>383</v>
      </c>
      <c r="G62" s="45" t="s">
        <v>374</v>
      </c>
      <c r="H62" s="45" t="s">
        <v>67</v>
      </c>
      <c r="I62" s="45">
        <v>6</v>
      </c>
      <c r="J62" s="75">
        <v>6000000</v>
      </c>
      <c r="K62" s="172">
        <f t="shared" si="2"/>
        <v>3.3333333333333437E-2</v>
      </c>
      <c r="L62" s="166">
        <f>IF(H62="OTRO",(J62*1.05),VLOOKUP((I62&amp;H62),'ESCALAS Salarios'!$D$2:$F$30,3,0))</f>
        <v>6200000</v>
      </c>
      <c r="M62" s="45">
        <v>1</v>
      </c>
      <c r="N62" s="45" t="s">
        <v>485</v>
      </c>
      <c r="O62" s="59">
        <v>45306</v>
      </c>
      <c r="P62" s="58">
        <v>45639</v>
      </c>
      <c r="Q62" s="59">
        <f>VLOOKUP($A62,[6]Contratistas!$A$3:$R$117,10,0)</f>
        <v>45306</v>
      </c>
      <c r="R62" s="237">
        <f>VLOOKUP($A62,[6]Contratistas!$A$3:$R$117,11,0)</f>
        <v>45639</v>
      </c>
      <c r="S62" s="78">
        <f t="shared" si="3"/>
        <v>68820000</v>
      </c>
      <c r="T62" s="59"/>
      <c r="U62" s="59"/>
      <c r="V62" s="78">
        <f t="shared" si="4"/>
        <v>0</v>
      </c>
      <c r="W62" s="76">
        <f t="shared" si="5"/>
        <v>11</v>
      </c>
      <c r="X62" s="93">
        <f t="shared" si="6"/>
        <v>68820000</v>
      </c>
      <c r="Y62" s="93">
        <v>66800000</v>
      </c>
      <c r="Z62" s="171">
        <f t="shared" si="7"/>
        <v>3.023952095808391E-2</v>
      </c>
      <c r="AA62" s="4">
        <v>52374854</v>
      </c>
      <c r="AB62" s="136" t="s">
        <v>26</v>
      </c>
      <c r="AC62" s="80">
        <f t="shared" si="8"/>
        <v>68820000</v>
      </c>
      <c r="AD62" s="81" t="s">
        <v>243</v>
      </c>
      <c r="AE62" s="82" t="s">
        <v>1</v>
      </c>
      <c r="AF62" s="83" t="s">
        <v>361</v>
      </c>
      <c r="AG62" s="83"/>
      <c r="AH62" s="84" t="str">
        <f t="shared" si="12"/>
        <v>CON-051</v>
      </c>
      <c r="AI62" s="81">
        <v>80111600</v>
      </c>
      <c r="AJ62" s="46" t="s">
        <v>143</v>
      </c>
      <c r="AK62" s="47">
        <f t="shared" si="9"/>
        <v>45306</v>
      </c>
      <c r="AL62" s="47">
        <f t="shared" si="10"/>
        <v>45306</v>
      </c>
      <c r="AM62" s="233">
        <f t="shared" si="13"/>
        <v>11</v>
      </c>
      <c r="AN62" s="48" t="s">
        <v>241</v>
      </c>
      <c r="AO62" s="49" t="s">
        <v>242</v>
      </c>
      <c r="AP62" s="50">
        <f t="shared" si="14"/>
        <v>68820000</v>
      </c>
      <c r="AQ62" s="50">
        <f t="shared" si="11"/>
        <v>68820000</v>
      </c>
      <c r="AR62" s="48" t="s">
        <v>244</v>
      </c>
      <c r="AS62" s="48" t="s">
        <v>245</v>
      </c>
      <c r="AT62" s="51" t="s">
        <v>246</v>
      </c>
      <c r="AU62" s="52" t="s">
        <v>247</v>
      </c>
      <c r="AV62" s="53" t="str">
        <f t="shared" si="16"/>
        <v>SUBDIRECCIÓN FINANCIERA</v>
      </c>
      <c r="AW62" s="54" t="s">
        <v>248</v>
      </c>
      <c r="AX62" s="55" t="s">
        <v>249</v>
      </c>
      <c r="AY62" s="48" t="s">
        <v>244</v>
      </c>
      <c r="AZ62" s="48" t="s">
        <v>244</v>
      </c>
      <c r="BA62" s="56" t="s">
        <v>250</v>
      </c>
      <c r="BB62" s="57" t="s">
        <v>251</v>
      </c>
      <c r="BC62" s="57" t="s">
        <v>252</v>
      </c>
      <c r="BD62" s="57" t="s">
        <v>250</v>
      </c>
      <c r="BE62" s="57"/>
      <c r="BF62" s="57"/>
    </row>
    <row r="63" spans="1:58" ht="45" x14ac:dyDescent="0.2">
      <c r="A63" s="44" t="s">
        <v>300</v>
      </c>
      <c r="B63" s="45" t="s">
        <v>63</v>
      </c>
      <c r="C63" s="45" t="s">
        <v>25</v>
      </c>
      <c r="D63" s="45" t="s">
        <v>80</v>
      </c>
      <c r="E63" s="45"/>
      <c r="F63" s="45" t="s">
        <v>383</v>
      </c>
      <c r="G63" s="45" t="s">
        <v>374</v>
      </c>
      <c r="H63" s="45" t="s">
        <v>69</v>
      </c>
      <c r="I63" s="45">
        <v>1</v>
      </c>
      <c r="J63" s="75">
        <v>3000000</v>
      </c>
      <c r="K63" s="172">
        <f t="shared" si="2"/>
        <v>3.3333333333333437E-2</v>
      </c>
      <c r="L63" s="166">
        <f>IF(H63="OTRO",(J63*1.05),VLOOKUP((I63&amp;H63),'ESCALAS Salarios'!$D$2:$F$30,3,0))</f>
        <v>3100000</v>
      </c>
      <c r="M63" s="45">
        <v>1</v>
      </c>
      <c r="N63" s="45" t="s">
        <v>485</v>
      </c>
      <c r="O63" s="59">
        <v>45313</v>
      </c>
      <c r="P63" s="58">
        <v>45639</v>
      </c>
      <c r="Q63" s="59">
        <f>VLOOKUP($A63,[6]Contratistas!$A$3:$R$117,10,0)</f>
        <v>45313</v>
      </c>
      <c r="R63" s="237">
        <f>VLOOKUP($A63,[6]Contratistas!$A$3:$R$117,11,0)</f>
        <v>45639</v>
      </c>
      <c r="S63" s="78">
        <f t="shared" si="3"/>
        <v>33686666.666666672</v>
      </c>
      <c r="T63" s="59"/>
      <c r="U63" s="59"/>
      <c r="V63" s="78">
        <f t="shared" si="4"/>
        <v>0</v>
      </c>
      <c r="W63" s="76">
        <f t="shared" si="5"/>
        <v>11</v>
      </c>
      <c r="X63" s="93">
        <f t="shared" si="6"/>
        <v>33686666.666666672</v>
      </c>
      <c r="Y63" s="93">
        <v>32000000</v>
      </c>
      <c r="Z63" s="171">
        <f t="shared" si="7"/>
        <v>5.2708333333333579E-2</v>
      </c>
      <c r="AA63" s="4">
        <v>1018477121</v>
      </c>
      <c r="AB63" s="136" t="s">
        <v>27</v>
      </c>
      <c r="AC63" s="80">
        <f t="shared" si="8"/>
        <v>33686666.666666672</v>
      </c>
      <c r="AD63" s="81" t="s">
        <v>243</v>
      </c>
      <c r="AE63" s="82" t="s">
        <v>1</v>
      </c>
      <c r="AF63" s="83" t="s">
        <v>361</v>
      </c>
      <c r="AG63" s="83"/>
      <c r="AH63" s="84" t="str">
        <f t="shared" si="12"/>
        <v>CON-052</v>
      </c>
      <c r="AI63" s="81">
        <v>80111600</v>
      </c>
      <c r="AJ63" s="46" t="s">
        <v>144</v>
      </c>
      <c r="AK63" s="47">
        <f t="shared" si="9"/>
        <v>45313</v>
      </c>
      <c r="AL63" s="47">
        <f t="shared" si="10"/>
        <v>45313</v>
      </c>
      <c r="AM63" s="233">
        <f t="shared" si="13"/>
        <v>11</v>
      </c>
      <c r="AN63" s="48" t="s">
        <v>241</v>
      </c>
      <c r="AO63" s="49" t="s">
        <v>242</v>
      </c>
      <c r="AP63" s="50">
        <f t="shared" si="14"/>
        <v>33686666.666666672</v>
      </c>
      <c r="AQ63" s="50">
        <f t="shared" si="11"/>
        <v>33686666.666666672</v>
      </c>
      <c r="AR63" s="48" t="s">
        <v>244</v>
      </c>
      <c r="AS63" s="48" t="s">
        <v>245</v>
      </c>
      <c r="AT63" s="51" t="s">
        <v>246</v>
      </c>
      <c r="AU63" s="52" t="s">
        <v>247</v>
      </c>
      <c r="AV63" s="53" t="str">
        <f t="shared" si="16"/>
        <v>DESPACHO VAD</v>
      </c>
      <c r="AW63" s="54" t="s">
        <v>248</v>
      </c>
      <c r="AX63" s="55" t="s">
        <v>249</v>
      </c>
      <c r="AY63" s="48" t="s">
        <v>244</v>
      </c>
      <c r="AZ63" s="48" t="s">
        <v>244</v>
      </c>
      <c r="BA63" s="56" t="s">
        <v>250</v>
      </c>
      <c r="BB63" s="57" t="s">
        <v>251</v>
      </c>
      <c r="BC63" s="57" t="s">
        <v>252</v>
      </c>
      <c r="BD63" s="57" t="s">
        <v>250</v>
      </c>
      <c r="BE63" s="57"/>
      <c r="BF63" s="57"/>
    </row>
    <row r="64" spans="1:58" ht="69" customHeight="1" x14ac:dyDescent="0.2">
      <c r="A64" s="44" t="s">
        <v>301</v>
      </c>
      <c r="B64" s="45" t="s">
        <v>63</v>
      </c>
      <c r="C64" s="45" t="s">
        <v>25</v>
      </c>
      <c r="D64" s="45" t="s">
        <v>138</v>
      </c>
      <c r="E64" s="45"/>
      <c r="F64" s="45" t="s">
        <v>383</v>
      </c>
      <c r="G64" s="45" t="s">
        <v>374</v>
      </c>
      <c r="H64" s="45" t="s">
        <v>69</v>
      </c>
      <c r="I64" s="45">
        <v>6</v>
      </c>
      <c r="J64" s="75">
        <v>4200000</v>
      </c>
      <c r="K64" s="172">
        <f t="shared" si="2"/>
        <v>4.7619047619047672E-2</v>
      </c>
      <c r="L64" s="166">
        <f>IF(H64="OTRO",(J64*1.05),VLOOKUP((I64&amp;H64),'ESCALAS Salarios'!$D$2:$F$30,3,0))</f>
        <v>4400000</v>
      </c>
      <c r="M64" s="45">
        <v>1</v>
      </c>
      <c r="N64" s="45" t="s">
        <v>485</v>
      </c>
      <c r="O64" s="59">
        <v>45327</v>
      </c>
      <c r="P64" s="58">
        <v>45641</v>
      </c>
      <c r="Q64" s="59">
        <f>VLOOKUP($A64,[6]Contratistas!$A$3:$R$117,10,0)</f>
        <v>45327</v>
      </c>
      <c r="R64" s="237">
        <f>VLOOKUP($A64,[6]Contratistas!$A$3:$R$117,11,0)</f>
        <v>45641</v>
      </c>
      <c r="S64" s="78">
        <f t="shared" si="3"/>
        <v>46053333.333333336</v>
      </c>
      <c r="T64" s="59"/>
      <c r="U64" s="59"/>
      <c r="V64" s="78">
        <f t="shared" si="4"/>
        <v>0</v>
      </c>
      <c r="W64" s="76">
        <f t="shared" si="5"/>
        <v>10</v>
      </c>
      <c r="X64" s="93">
        <f t="shared" si="6"/>
        <v>46053333.333333336</v>
      </c>
      <c r="Y64" s="93">
        <v>44380000</v>
      </c>
      <c r="Z64" s="171">
        <f t="shared" si="7"/>
        <v>3.7704671774072551E-2</v>
      </c>
      <c r="AA64" s="4">
        <v>52516310</v>
      </c>
      <c r="AB64" s="136" t="s">
        <v>425</v>
      </c>
      <c r="AC64" s="80">
        <f t="shared" si="8"/>
        <v>46053333.333333336</v>
      </c>
      <c r="AD64" s="81" t="s">
        <v>243</v>
      </c>
      <c r="AE64" s="82" t="s">
        <v>1</v>
      </c>
      <c r="AF64" s="83" t="s">
        <v>361</v>
      </c>
      <c r="AG64" s="83"/>
      <c r="AH64" s="84" t="str">
        <f t="shared" si="12"/>
        <v>CON-053</v>
      </c>
      <c r="AI64" s="81">
        <v>80111600</v>
      </c>
      <c r="AJ64" s="46" t="s">
        <v>210</v>
      </c>
      <c r="AK64" s="47">
        <f t="shared" si="9"/>
        <v>45327</v>
      </c>
      <c r="AL64" s="47">
        <f t="shared" si="10"/>
        <v>45327</v>
      </c>
      <c r="AM64" s="233">
        <f t="shared" si="13"/>
        <v>10</v>
      </c>
      <c r="AN64" s="48" t="s">
        <v>241</v>
      </c>
      <c r="AO64" s="49" t="s">
        <v>242</v>
      </c>
      <c r="AP64" s="50">
        <f t="shared" si="14"/>
        <v>46053333.333333336</v>
      </c>
      <c r="AQ64" s="50">
        <f t="shared" si="11"/>
        <v>46053333.333333336</v>
      </c>
      <c r="AR64" s="48" t="s">
        <v>244</v>
      </c>
      <c r="AS64" s="48" t="s">
        <v>245</v>
      </c>
      <c r="AT64" s="51" t="s">
        <v>246</v>
      </c>
      <c r="AU64" s="52" t="s">
        <v>247</v>
      </c>
      <c r="AV64" s="53" t="str">
        <f t="shared" si="16"/>
        <v>SUBDIRECCIÓN DE PERSONAL</v>
      </c>
      <c r="AW64" s="54" t="s">
        <v>248</v>
      </c>
      <c r="AX64" s="55" t="s">
        <v>249</v>
      </c>
      <c r="AY64" s="48" t="s">
        <v>244</v>
      </c>
      <c r="AZ64" s="48" t="s">
        <v>244</v>
      </c>
      <c r="BA64" s="56" t="s">
        <v>250</v>
      </c>
      <c r="BB64" s="57" t="s">
        <v>251</v>
      </c>
      <c r="BC64" s="57" t="s">
        <v>252</v>
      </c>
      <c r="BD64" s="57" t="s">
        <v>250</v>
      </c>
      <c r="BE64" s="57"/>
      <c r="BF64" s="57"/>
    </row>
    <row r="65" spans="1:58" ht="45" x14ac:dyDescent="0.2">
      <c r="A65" s="44" t="s">
        <v>302</v>
      </c>
      <c r="B65" s="45" t="s">
        <v>63</v>
      </c>
      <c r="C65" s="45" t="s">
        <v>25</v>
      </c>
      <c r="D65" s="45" t="s">
        <v>29</v>
      </c>
      <c r="E65" s="45"/>
      <c r="F65" s="45" t="s">
        <v>481</v>
      </c>
      <c r="G65" s="45" t="s">
        <v>374</v>
      </c>
      <c r="H65" s="45" t="s">
        <v>71</v>
      </c>
      <c r="I65" s="45">
        <v>5</v>
      </c>
      <c r="J65" s="75">
        <v>2000000</v>
      </c>
      <c r="K65" s="172">
        <f t="shared" si="2"/>
        <v>5.0000000000000044E-2</v>
      </c>
      <c r="L65" s="166">
        <f>IF(H65="OTRO",(J65*1.05),VLOOKUP((I65&amp;H65),'ESCALAS Salarios'!$D$2:$F$30,3,0))</f>
        <v>2100000</v>
      </c>
      <c r="M65" s="45">
        <v>1</v>
      </c>
      <c r="N65" s="45" t="s">
        <v>485</v>
      </c>
      <c r="O65" s="59">
        <v>45306</v>
      </c>
      <c r="P65" s="58">
        <v>45639</v>
      </c>
      <c r="Q65" s="59">
        <f>VLOOKUP($A65,[6]Contratistas!$A$3:$R$117,10,0)</f>
        <v>45306</v>
      </c>
      <c r="R65" s="237">
        <f>VLOOKUP($A65,[6]Contratistas!$A$3:$R$117,11,0)</f>
        <v>45639</v>
      </c>
      <c r="S65" s="78">
        <f t="shared" si="3"/>
        <v>23310000</v>
      </c>
      <c r="T65" s="59"/>
      <c r="U65" s="59"/>
      <c r="V65" s="78">
        <f t="shared" si="4"/>
        <v>0</v>
      </c>
      <c r="W65" s="76">
        <f t="shared" si="5"/>
        <v>11</v>
      </c>
      <c r="X65" s="93">
        <f t="shared" si="6"/>
        <v>23310000</v>
      </c>
      <c r="Y65" s="93">
        <v>22200000</v>
      </c>
      <c r="Z65" s="171">
        <f t="shared" si="7"/>
        <v>5.0000000000000044E-2</v>
      </c>
      <c r="AA65" s="4">
        <v>16881799</v>
      </c>
      <c r="AB65" s="136" t="s">
        <v>30</v>
      </c>
      <c r="AC65" s="80">
        <f t="shared" si="8"/>
        <v>23310000</v>
      </c>
      <c r="AD65" s="81" t="s">
        <v>243</v>
      </c>
      <c r="AE65" s="82" t="s">
        <v>1</v>
      </c>
      <c r="AF65" s="83" t="s">
        <v>361</v>
      </c>
      <c r="AG65" s="83"/>
      <c r="AH65" s="84" t="str">
        <f t="shared" si="12"/>
        <v>CON-054</v>
      </c>
      <c r="AI65" s="81">
        <v>80111600</v>
      </c>
      <c r="AJ65" s="46" t="s">
        <v>169</v>
      </c>
      <c r="AK65" s="47">
        <f t="shared" si="9"/>
        <v>45306</v>
      </c>
      <c r="AL65" s="47">
        <f t="shared" si="10"/>
        <v>45306</v>
      </c>
      <c r="AM65" s="233">
        <f t="shared" si="13"/>
        <v>11</v>
      </c>
      <c r="AN65" s="48" t="s">
        <v>241</v>
      </c>
      <c r="AO65" s="49" t="s">
        <v>242</v>
      </c>
      <c r="AP65" s="50">
        <f t="shared" si="14"/>
        <v>23310000</v>
      </c>
      <c r="AQ65" s="50">
        <f t="shared" si="11"/>
        <v>23310000</v>
      </c>
      <c r="AR65" s="48" t="s">
        <v>244</v>
      </c>
      <c r="AS65" s="48" t="s">
        <v>245</v>
      </c>
      <c r="AT65" s="51" t="s">
        <v>246</v>
      </c>
      <c r="AU65" s="52" t="s">
        <v>247</v>
      </c>
      <c r="AV65" s="53" t="str">
        <f t="shared" si="16"/>
        <v>SUBDIRECCIÓN DE SERVICIOS GENERALES</v>
      </c>
      <c r="AW65" s="54" t="s">
        <v>248</v>
      </c>
      <c r="AX65" s="55" t="s">
        <v>249</v>
      </c>
      <c r="AY65" s="48" t="s">
        <v>244</v>
      </c>
      <c r="AZ65" s="48" t="s">
        <v>244</v>
      </c>
      <c r="BA65" s="56" t="s">
        <v>250</v>
      </c>
      <c r="BB65" s="57" t="s">
        <v>251</v>
      </c>
      <c r="BC65" s="57" t="s">
        <v>252</v>
      </c>
      <c r="BD65" s="57" t="s">
        <v>250</v>
      </c>
      <c r="BE65" s="57"/>
      <c r="BF65" s="57"/>
    </row>
    <row r="66" spans="1:58" ht="78.75" x14ac:dyDescent="0.2">
      <c r="A66" s="44" t="s">
        <v>303</v>
      </c>
      <c r="B66" s="45" t="s">
        <v>63</v>
      </c>
      <c r="C66" s="45" t="s">
        <v>25</v>
      </c>
      <c r="D66" s="45" t="s">
        <v>81</v>
      </c>
      <c r="E66" s="45"/>
      <c r="F66" s="45" t="s">
        <v>383</v>
      </c>
      <c r="G66" s="45" t="s">
        <v>374</v>
      </c>
      <c r="H66" s="45" t="s">
        <v>69</v>
      </c>
      <c r="I66" s="45">
        <v>6</v>
      </c>
      <c r="J66" s="75">
        <v>4200000</v>
      </c>
      <c r="K66" s="172">
        <f t="shared" si="2"/>
        <v>4.7619047619047672E-2</v>
      </c>
      <c r="L66" s="166">
        <f>IF(H66="OTRO",(J66*1.05),VLOOKUP((I66&amp;H66),'ESCALAS Salarios'!$D$2:$F$30,3,0))</f>
        <v>4400000</v>
      </c>
      <c r="M66" s="45">
        <v>1</v>
      </c>
      <c r="N66" s="45" t="s">
        <v>485</v>
      </c>
      <c r="O66" s="59">
        <v>45327</v>
      </c>
      <c r="P66" s="58">
        <v>45626</v>
      </c>
      <c r="Q66" s="59">
        <f>VLOOKUP($A66,[6]Contratistas!$A$3:$R$117,10,0)</f>
        <v>45327</v>
      </c>
      <c r="R66" s="237">
        <f>VLOOKUP($A66,[6]Contratistas!$A$3:$R$117,11,0)</f>
        <v>45626</v>
      </c>
      <c r="S66" s="78">
        <f t="shared" si="3"/>
        <v>43853333.333333336</v>
      </c>
      <c r="T66" s="59"/>
      <c r="U66" s="59"/>
      <c r="V66" s="78">
        <f t="shared" si="4"/>
        <v>0</v>
      </c>
      <c r="W66" s="76">
        <f t="shared" si="5"/>
        <v>10</v>
      </c>
      <c r="X66" s="93">
        <f t="shared" si="6"/>
        <v>43853333.333333336</v>
      </c>
      <c r="Y66" s="93">
        <v>42280000</v>
      </c>
      <c r="Z66" s="171">
        <f t="shared" si="7"/>
        <v>3.7212235887732703E-2</v>
      </c>
      <c r="AA66" s="4">
        <v>1005450904</v>
      </c>
      <c r="AB66" s="136" t="s">
        <v>426</v>
      </c>
      <c r="AC66" s="80">
        <f t="shared" si="8"/>
        <v>43853333.333333336</v>
      </c>
      <c r="AD66" s="81" t="s">
        <v>243</v>
      </c>
      <c r="AE66" s="82" t="s">
        <v>1</v>
      </c>
      <c r="AF66" s="83" t="s">
        <v>361</v>
      </c>
      <c r="AG66" s="83"/>
      <c r="AH66" s="84" t="str">
        <f t="shared" si="12"/>
        <v>CON-055</v>
      </c>
      <c r="AI66" s="81">
        <v>80111600</v>
      </c>
      <c r="AJ66" s="46" t="s">
        <v>377</v>
      </c>
      <c r="AK66" s="47">
        <f t="shared" si="9"/>
        <v>45327</v>
      </c>
      <c r="AL66" s="47">
        <f t="shared" si="10"/>
        <v>45327</v>
      </c>
      <c r="AM66" s="233">
        <f t="shared" si="13"/>
        <v>10</v>
      </c>
      <c r="AN66" s="48" t="s">
        <v>241</v>
      </c>
      <c r="AO66" s="49" t="s">
        <v>242</v>
      </c>
      <c r="AP66" s="50">
        <f t="shared" si="14"/>
        <v>43853333.333333336</v>
      </c>
      <c r="AQ66" s="50">
        <f t="shared" si="11"/>
        <v>43853333.333333336</v>
      </c>
      <c r="AR66" s="48" t="s">
        <v>244</v>
      </c>
      <c r="AS66" s="48" t="s">
        <v>245</v>
      </c>
      <c r="AT66" s="51" t="s">
        <v>246</v>
      </c>
      <c r="AU66" s="52" t="s">
        <v>247</v>
      </c>
      <c r="AV66" s="53" t="str">
        <f t="shared" si="16"/>
        <v xml:space="preserve">GRUPO DE CONTRATACIÓN </v>
      </c>
      <c r="AW66" s="54" t="s">
        <v>248</v>
      </c>
      <c r="AX66" s="55" t="s">
        <v>249</v>
      </c>
      <c r="AY66" s="48" t="s">
        <v>244</v>
      </c>
      <c r="AZ66" s="48" t="s">
        <v>244</v>
      </c>
      <c r="BA66" s="56" t="s">
        <v>250</v>
      </c>
      <c r="BB66" s="57" t="s">
        <v>251</v>
      </c>
      <c r="BC66" s="57" t="s">
        <v>252</v>
      </c>
      <c r="BD66" s="57" t="s">
        <v>250</v>
      </c>
      <c r="BE66" s="57"/>
      <c r="BF66" s="57"/>
    </row>
    <row r="67" spans="1:58" ht="67.5" x14ac:dyDescent="0.2">
      <c r="A67" s="44" t="s">
        <v>304</v>
      </c>
      <c r="B67" s="45" t="s">
        <v>63</v>
      </c>
      <c r="C67" s="45" t="s">
        <v>25</v>
      </c>
      <c r="D67" s="45" t="s">
        <v>31</v>
      </c>
      <c r="E67" s="45"/>
      <c r="F67" s="45" t="s">
        <v>383</v>
      </c>
      <c r="G67" s="45" t="s">
        <v>374</v>
      </c>
      <c r="H67" s="45" t="s">
        <v>69</v>
      </c>
      <c r="I67" s="45">
        <v>3</v>
      </c>
      <c r="J67" s="75">
        <v>3400000</v>
      </c>
      <c r="K67" s="172">
        <f t="shared" si="2"/>
        <v>5.8823529411764719E-2</v>
      </c>
      <c r="L67" s="166">
        <f>IF(H67="OTRO",(J67*1.05),VLOOKUP((I67&amp;H67),'ESCALAS Salarios'!$D$2:$F$30,3,0))</f>
        <v>3600000</v>
      </c>
      <c r="M67" s="45">
        <v>1</v>
      </c>
      <c r="N67" s="45" t="s">
        <v>485</v>
      </c>
      <c r="O67" s="59">
        <v>45327</v>
      </c>
      <c r="P67" s="58">
        <v>45641</v>
      </c>
      <c r="Q67" s="59">
        <f>VLOOKUP($A67,[6]Contratistas!$A$3:$R$117,10,0)</f>
        <v>45315</v>
      </c>
      <c r="R67" s="237">
        <f>VLOOKUP($A67,[6]Contratistas!$A$3:$R$117,11,0)</f>
        <v>45625</v>
      </c>
      <c r="S67" s="78">
        <f t="shared" si="3"/>
        <v>37200000</v>
      </c>
      <c r="T67" s="59"/>
      <c r="U67" s="59"/>
      <c r="V67" s="78">
        <f t="shared" si="4"/>
        <v>0</v>
      </c>
      <c r="W67" s="76">
        <f t="shared" si="5"/>
        <v>10</v>
      </c>
      <c r="X67" s="93">
        <f t="shared" si="6"/>
        <v>37200000</v>
      </c>
      <c r="Y67" s="93">
        <v>35360000</v>
      </c>
      <c r="Z67" s="171">
        <f t="shared" si="7"/>
        <v>5.2036199095022662E-2</v>
      </c>
      <c r="AA67" s="4">
        <v>80723573</v>
      </c>
      <c r="AB67" s="136" t="s">
        <v>32</v>
      </c>
      <c r="AC67" s="80">
        <f t="shared" si="8"/>
        <v>37200000</v>
      </c>
      <c r="AD67" s="81" t="s">
        <v>243</v>
      </c>
      <c r="AE67" s="82" t="s">
        <v>1</v>
      </c>
      <c r="AF67" s="83" t="s">
        <v>361</v>
      </c>
      <c r="AG67" s="83"/>
      <c r="AH67" s="84" t="str">
        <f t="shared" si="12"/>
        <v>CON-056</v>
      </c>
      <c r="AI67" s="81">
        <v>80111600</v>
      </c>
      <c r="AJ67" s="46" t="s">
        <v>170</v>
      </c>
      <c r="AK67" s="47">
        <f t="shared" si="9"/>
        <v>45315</v>
      </c>
      <c r="AL67" s="47">
        <f t="shared" si="10"/>
        <v>45315</v>
      </c>
      <c r="AM67" s="233">
        <f t="shared" si="13"/>
        <v>10</v>
      </c>
      <c r="AN67" s="48" t="s">
        <v>241</v>
      </c>
      <c r="AO67" s="49" t="s">
        <v>242</v>
      </c>
      <c r="AP67" s="50">
        <f t="shared" si="14"/>
        <v>37200000</v>
      </c>
      <c r="AQ67" s="50">
        <f t="shared" si="11"/>
        <v>37200000</v>
      </c>
      <c r="AR67" s="48" t="s">
        <v>244</v>
      </c>
      <c r="AS67" s="48" t="s">
        <v>245</v>
      </c>
      <c r="AT67" s="51" t="s">
        <v>246</v>
      </c>
      <c r="AU67" s="52" t="s">
        <v>247</v>
      </c>
      <c r="AV67" s="53" t="str">
        <f t="shared" si="16"/>
        <v xml:space="preserve">SUBDIRECCIÓN DE GESTIÓN DE SISTEMAS DE INFORMACIÓN </v>
      </c>
      <c r="AW67" s="54" t="s">
        <v>248</v>
      </c>
      <c r="AX67" s="55" t="s">
        <v>249</v>
      </c>
      <c r="AY67" s="48" t="s">
        <v>244</v>
      </c>
      <c r="AZ67" s="48" t="s">
        <v>244</v>
      </c>
      <c r="BA67" s="56" t="s">
        <v>250</v>
      </c>
      <c r="BB67" s="57" t="s">
        <v>251</v>
      </c>
      <c r="BC67" s="57" t="s">
        <v>252</v>
      </c>
      <c r="BD67" s="57" t="s">
        <v>250</v>
      </c>
      <c r="BE67" s="57"/>
      <c r="BF67" s="57"/>
    </row>
    <row r="68" spans="1:58" ht="90" x14ac:dyDescent="0.2">
      <c r="A68" s="44" t="s">
        <v>305</v>
      </c>
      <c r="B68" s="45" t="s">
        <v>63</v>
      </c>
      <c r="C68" s="45" t="s">
        <v>25</v>
      </c>
      <c r="D68" s="45" t="s">
        <v>31</v>
      </c>
      <c r="E68" s="45"/>
      <c r="F68" s="45" t="s">
        <v>383</v>
      </c>
      <c r="G68" s="45" t="s">
        <v>374</v>
      </c>
      <c r="H68" s="45" t="s">
        <v>69</v>
      </c>
      <c r="I68" s="45">
        <v>3</v>
      </c>
      <c r="J68" s="75">
        <v>3400000</v>
      </c>
      <c r="K68" s="172">
        <f t="shared" si="2"/>
        <v>5.8823529411764719E-2</v>
      </c>
      <c r="L68" s="166">
        <f>IF(H68="OTRO",(J68*1.05),VLOOKUP((I68&amp;H68),'ESCALAS Salarios'!$D$2:$F$30,3,0))</f>
        <v>3600000</v>
      </c>
      <c r="M68" s="45">
        <v>1</v>
      </c>
      <c r="N68" s="45" t="s">
        <v>485</v>
      </c>
      <c r="O68" s="59">
        <v>45327</v>
      </c>
      <c r="P68" s="58">
        <v>45641</v>
      </c>
      <c r="Q68" s="59">
        <f>VLOOKUP($A68,[6]Contratistas!$A$3:$R$117,10,0)</f>
        <v>45315</v>
      </c>
      <c r="R68" s="237">
        <f>VLOOKUP($A68,[6]Contratistas!$A$3:$R$117,11,0)</f>
        <v>45646</v>
      </c>
      <c r="S68" s="78">
        <f t="shared" si="3"/>
        <v>39720000</v>
      </c>
      <c r="T68" s="59"/>
      <c r="U68" s="59"/>
      <c r="V68" s="78">
        <f t="shared" si="4"/>
        <v>0</v>
      </c>
      <c r="W68" s="76">
        <f t="shared" si="5"/>
        <v>11</v>
      </c>
      <c r="X68" s="93">
        <f t="shared" si="6"/>
        <v>39720000</v>
      </c>
      <c r="Y68" s="93">
        <v>35360000</v>
      </c>
      <c r="Z68" s="171">
        <f t="shared" si="7"/>
        <v>0.12330316742081449</v>
      </c>
      <c r="AA68" s="4">
        <v>1065564485</v>
      </c>
      <c r="AB68" s="136" t="s">
        <v>33</v>
      </c>
      <c r="AC68" s="80">
        <f t="shared" si="8"/>
        <v>39720000</v>
      </c>
      <c r="AD68" s="81" t="s">
        <v>243</v>
      </c>
      <c r="AE68" s="82" t="s">
        <v>1</v>
      </c>
      <c r="AF68" s="83" t="s">
        <v>361</v>
      </c>
      <c r="AG68" s="83"/>
      <c r="AH68" s="84" t="str">
        <f t="shared" si="12"/>
        <v>CON-057</v>
      </c>
      <c r="AI68" s="81">
        <v>80111600</v>
      </c>
      <c r="AJ68" s="46" t="s">
        <v>171</v>
      </c>
      <c r="AK68" s="47">
        <f t="shared" si="9"/>
        <v>45315</v>
      </c>
      <c r="AL68" s="47">
        <f t="shared" si="10"/>
        <v>45315</v>
      </c>
      <c r="AM68" s="233">
        <f t="shared" si="13"/>
        <v>11</v>
      </c>
      <c r="AN68" s="48" t="s">
        <v>241</v>
      </c>
      <c r="AO68" s="49" t="s">
        <v>242</v>
      </c>
      <c r="AP68" s="50">
        <f t="shared" si="14"/>
        <v>39720000</v>
      </c>
      <c r="AQ68" s="50">
        <f t="shared" si="11"/>
        <v>39720000</v>
      </c>
      <c r="AR68" s="48" t="s">
        <v>244</v>
      </c>
      <c r="AS68" s="48" t="s">
        <v>245</v>
      </c>
      <c r="AT68" s="51" t="s">
        <v>246</v>
      </c>
      <c r="AU68" s="52" t="s">
        <v>247</v>
      </c>
      <c r="AV68" s="53" t="str">
        <f t="shared" si="16"/>
        <v xml:space="preserve">SUBDIRECCIÓN DE GESTIÓN DE SISTEMAS DE INFORMACIÓN </v>
      </c>
      <c r="AW68" s="54" t="s">
        <v>248</v>
      </c>
      <c r="AX68" s="55" t="s">
        <v>249</v>
      </c>
      <c r="AY68" s="48" t="s">
        <v>244</v>
      </c>
      <c r="AZ68" s="48" t="s">
        <v>244</v>
      </c>
      <c r="BA68" s="56" t="s">
        <v>250</v>
      </c>
      <c r="BB68" s="57" t="s">
        <v>251</v>
      </c>
      <c r="BC68" s="57" t="s">
        <v>252</v>
      </c>
      <c r="BD68" s="57" t="s">
        <v>250</v>
      </c>
      <c r="BE68" s="57"/>
      <c r="BF68" s="57"/>
    </row>
    <row r="69" spans="1:58" ht="67.5" x14ac:dyDescent="0.2">
      <c r="A69" s="44" t="s">
        <v>306</v>
      </c>
      <c r="B69" s="45" t="s">
        <v>63</v>
      </c>
      <c r="C69" s="45" t="s">
        <v>25</v>
      </c>
      <c r="D69" s="45" t="s">
        <v>31</v>
      </c>
      <c r="E69" s="45"/>
      <c r="F69" s="45" t="s">
        <v>383</v>
      </c>
      <c r="G69" s="45" t="s">
        <v>374</v>
      </c>
      <c r="H69" s="45" t="s">
        <v>67</v>
      </c>
      <c r="I69" s="45">
        <v>1</v>
      </c>
      <c r="J69" s="75">
        <v>4550000</v>
      </c>
      <c r="K69" s="172">
        <f t="shared" si="2"/>
        <v>3.2967032967033072E-2</v>
      </c>
      <c r="L69" s="166">
        <f>IF(H69="OTRO",(J69*1.05),VLOOKUP((I69&amp;H69),'ESCALAS Salarios'!$D$2:$F$30,3,0))</f>
        <v>4700000</v>
      </c>
      <c r="M69" s="45">
        <v>1</v>
      </c>
      <c r="N69" s="45" t="s">
        <v>485</v>
      </c>
      <c r="O69" s="59">
        <v>45327</v>
      </c>
      <c r="P69" s="58">
        <v>45641</v>
      </c>
      <c r="Q69" s="59">
        <f>VLOOKUP($A69,[6]Contratistas!$A$3:$R$117,10,0)</f>
        <v>45315</v>
      </c>
      <c r="R69" s="237">
        <f>VLOOKUP($A69,[6]Contratistas!$A$3:$R$117,11,0)</f>
        <v>45625</v>
      </c>
      <c r="S69" s="78">
        <f t="shared" si="3"/>
        <v>48566666.666666672</v>
      </c>
      <c r="T69" s="59"/>
      <c r="U69" s="59"/>
      <c r="V69" s="78">
        <f t="shared" si="4"/>
        <v>0</v>
      </c>
      <c r="W69" s="76">
        <f t="shared" si="5"/>
        <v>10</v>
      </c>
      <c r="X69" s="93">
        <f t="shared" si="6"/>
        <v>48566666.666666672</v>
      </c>
      <c r="Y69" s="93">
        <v>47320000</v>
      </c>
      <c r="Z69" s="171">
        <f t="shared" si="7"/>
        <v>2.6345449422372713E-2</v>
      </c>
      <c r="AA69" s="4">
        <v>52558393</v>
      </c>
      <c r="AB69" s="136" t="s">
        <v>427</v>
      </c>
      <c r="AC69" s="80">
        <f t="shared" si="8"/>
        <v>48566666.666666672</v>
      </c>
      <c r="AD69" s="81" t="s">
        <v>243</v>
      </c>
      <c r="AE69" s="82" t="s">
        <v>1</v>
      </c>
      <c r="AF69" s="83" t="s">
        <v>361</v>
      </c>
      <c r="AG69" s="83"/>
      <c r="AH69" s="84" t="str">
        <f t="shared" si="12"/>
        <v>CON-058</v>
      </c>
      <c r="AI69" s="81">
        <v>80111600</v>
      </c>
      <c r="AJ69" s="46" t="s">
        <v>172</v>
      </c>
      <c r="AK69" s="47">
        <f t="shared" si="9"/>
        <v>45315</v>
      </c>
      <c r="AL69" s="47">
        <f t="shared" si="10"/>
        <v>45315</v>
      </c>
      <c r="AM69" s="233">
        <f t="shared" si="13"/>
        <v>10</v>
      </c>
      <c r="AN69" s="48" t="s">
        <v>241</v>
      </c>
      <c r="AO69" s="49" t="s">
        <v>242</v>
      </c>
      <c r="AP69" s="50">
        <f t="shared" si="14"/>
        <v>48566666.666666672</v>
      </c>
      <c r="AQ69" s="50">
        <f t="shared" si="11"/>
        <v>48566666.666666672</v>
      </c>
      <c r="AR69" s="48" t="s">
        <v>244</v>
      </c>
      <c r="AS69" s="48" t="s">
        <v>245</v>
      </c>
      <c r="AT69" s="51" t="s">
        <v>246</v>
      </c>
      <c r="AU69" s="52" t="s">
        <v>247</v>
      </c>
      <c r="AV69" s="53" t="str">
        <f t="shared" si="16"/>
        <v xml:space="preserve">SUBDIRECCIÓN DE GESTIÓN DE SISTEMAS DE INFORMACIÓN </v>
      </c>
      <c r="AW69" s="54" t="s">
        <v>248</v>
      </c>
      <c r="AX69" s="55" t="s">
        <v>249</v>
      </c>
      <c r="AY69" s="48" t="s">
        <v>244</v>
      </c>
      <c r="AZ69" s="48" t="s">
        <v>244</v>
      </c>
      <c r="BA69" s="56" t="s">
        <v>250</v>
      </c>
      <c r="BB69" s="57" t="s">
        <v>251</v>
      </c>
      <c r="BC69" s="57" t="s">
        <v>252</v>
      </c>
      <c r="BD69" s="57" t="s">
        <v>250</v>
      </c>
      <c r="BE69" s="57"/>
      <c r="BF69" s="57"/>
    </row>
    <row r="70" spans="1:58" ht="45" x14ac:dyDescent="0.2">
      <c r="A70" s="44" t="s">
        <v>592</v>
      </c>
      <c r="B70" s="45" t="s">
        <v>63</v>
      </c>
      <c r="C70" s="45" t="s">
        <v>25</v>
      </c>
      <c r="D70" s="45" t="s">
        <v>31</v>
      </c>
      <c r="E70" s="45"/>
      <c r="F70" s="45" t="s">
        <v>383</v>
      </c>
      <c r="G70" s="45" t="s">
        <v>374</v>
      </c>
      <c r="H70" s="45" t="s">
        <v>69</v>
      </c>
      <c r="I70" s="45">
        <v>3</v>
      </c>
      <c r="J70" s="75">
        <v>3400000</v>
      </c>
      <c r="K70" s="172">
        <f t="shared" si="2"/>
        <v>5.8823529411764719E-2</v>
      </c>
      <c r="L70" s="166">
        <f>IF(H70="OTRO",(J70*1.05),VLOOKUP((I70&amp;H70),'ESCALAS Salarios'!$D$2:$F$30,3,0))</f>
        <v>3600000</v>
      </c>
      <c r="M70" s="45">
        <v>1</v>
      </c>
      <c r="N70" s="45" t="s">
        <v>485</v>
      </c>
      <c r="O70" s="59">
        <v>45327</v>
      </c>
      <c r="P70" s="58">
        <v>45641</v>
      </c>
      <c r="Q70" s="59">
        <f>VLOOKUP($A70,[6]Contratistas!$A$3:$R$117,10,0)</f>
        <v>45315</v>
      </c>
      <c r="R70" s="237">
        <f>VLOOKUP($A70,[6]Contratistas!$A$3:$R$117,11,0)</f>
        <v>45625</v>
      </c>
      <c r="S70" s="78">
        <f t="shared" si="3"/>
        <v>37200000</v>
      </c>
      <c r="T70" s="59"/>
      <c r="U70" s="59"/>
      <c r="V70" s="78">
        <f t="shared" si="4"/>
        <v>0</v>
      </c>
      <c r="W70" s="76">
        <f t="shared" si="5"/>
        <v>10</v>
      </c>
      <c r="X70" s="93">
        <f t="shared" si="6"/>
        <v>37200000</v>
      </c>
      <c r="Y70" s="93">
        <v>35360000</v>
      </c>
      <c r="Z70" s="171">
        <f t="shared" si="7"/>
        <v>5.2036199095022662E-2</v>
      </c>
      <c r="AA70" s="4">
        <v>80010368</v>
      </c>
      <c r="AB70" s="136" t="s">
        <v>34</v>
      </c>
      <c r="AC70" s="80">
        <f t="shared" si="8"/>
        <v>37200000</v>
      </c>
      <c r="AD70" s="81" t="s">
        <v>243</v>
      </c>
      <c r="AE70" s="82" t="s">
        <v>1</v>
      </c>
      <c r="AF70" s="83" t="s">
        <v>361</v>
      </c>
      <c r="AG70" s="83"/>
      <c r="AH70" s="84" t="str">
        <f t="shared" si="12"/>
        <v>CON-059</v>
      </c>
      <c r="AI70" s="81">
        <v>80111600</v>
      </c>
      <c r="AJ70" s="46" t="s">
        <v>173</v>
      </c>
      <c r="AK70" s="47">
        <f t="shared" si="9"/>
        <v>45315</v>
      </c>
      <c r="AL70" s="47">
        <f t="shared" si="10"/>
        <v>45315</v>
      </c>
      <c r="AM70" s="233">
        <f t="shared" si="13"/>
        <v>10</v>
      </c>
      <c r="AN70" s="48" t="s">
        <v>241</v>
      </c>
      <c r="AO70" s="49" t="s">
        <v>242</v>
      </c>
      <c r="AP70" s="50">
        <f t="shared" si="14"/>
        <v>37200000</v>
      </c>
      <c r="AQ70" s="50">
        <f t="shared" si="11"/>
        <v>37200000</v>
      </c>
      <c r="AR70" s="48" t="s">
        <v>244</v>
      </c>
      <c r="AS70" s="48" t="s">
        <v>245</v>
      </c>
      <c r="AT70" s="51" t="s">
        <v>246</v>
      </c>
      <c r="AU70" s="52" t="s">
        <v>247</v>
      </c>
      <c r="AV70" s="53" t="str">
        <f t="shared" si="16"/>
        <v xml:space="preserve">SUBDIRECCIÓN DE GESTIÓN DE SISTEMAS DE INFORMACIÓN </v>
      </c>
      <c r="AW70" s="54" t="s">
        <v>248</v>
      </c>
      <c r="AX70" s="55" t="s">
        <v>249</v>
      </c>
      <c r="AY70" s="48" t="s">
        <v>244</v>
      </c>
      <c r="AZ70" s="48" t="s">
        <v>244</v>
      </c>
      <c r="BA70" s="56" t="s">
        <v>250</v>
      </c>
      <c r="BB70" s="57" t="s">
        <v>251</v>
      </c>
      <c r="BC70" s="57" t="s">
        <v>252</v>
      </c>
      <c r="BD70" s="57" t="s">
        <v>250</v>
      </c>
      <c r="BE70" s="57"/>
      <c r="BF70" s="57"/>
    </row>
    <row r="71" spans="1:58" ht="45" x14ac:dyDescent="0.2">
      <c r="A71" s="44" t="s">
        <v>307</v>
      </c>
      <c r="B71" s="45" t="s">
        <v>63</v>
      </c>
      <c r="C71" s="45" t="s">
        <v>25</v>
      </c>
      <c r="D71" s="45" t="s">
        <v>31</v>
      </c>
      <c r="E71" s="45"/>
      <c r="F71" s="45" t="s">
        <v>480</v>
      </c>
      <c r="G71" s="45" t="s">
        <v>374</v>
      </c>
      <c r="H71" s="45" t="s">
        <v>70</v>
      </c>
      <c r="I71" s="45">
        <v>1</v>
      </c>
      <c r="J71" s="75">
        <v>2200000</v>
      </c>
      <c r="K71" s="172">
        <f t="shared" si="2"/>
        <v>4.5454545454545414E-2</v>
      </c>
      <c r="L71" s="166">
        <f>IF(H71="OTRO",(J71*1.05),VLOOKUP((I71&amp;H71),'ESCALAS Salarios'!$D$2:$F$30,3,0))</f>
        <v>2300000</v>
      </c>
      <c r="M71" s="45">
        <v>1</v>
      </c>
      <c r="N71" s="45" t="s">
        <v>485</v>
      </c>
      <c r="O71" s="59">
        <v>45327</v>
      </c>
      <c r="P71" s="58">
        <v>45641</v>
      </c>
      <c r="Q71" s="59">
        <f>VLOOKUP($A71,[6]Contratistas!$A$3:$R$117,10,0)</f>
        <v>45315</v>
      </c>
      <c r="R71" s="237">
        <f>VLOOKUP($A71,[6]Contratistas!$A$3:$R$117,11,0)</f>
        <v>45625</v>
      </c>
      <c r="S71" s="78">
        <f t="shared" si="3"/>
        <v>23766666.666666668</v>
      </c>
      <c r="T71" s="59"/>
      <c r="U71" s="59"/>
      <c r="V71" s="78">
        <f t="shared" si="4"/>
        <v>0</v>
      </c>
      <c r="W71" s="76">
        <f t="shared" si="5"/>
        <v>10</v>
      </c>
      <c r="X71" s="93">
        <f t="shared" si="6"/>
        <v>23766666.666666668</v>
      </c>
      <c r="Y71" s="93">
        <v>22880000</v>
      </c>
      <c r="Z71" s="171">
        <f t="shared" si="7"/>
        <v>3.8752913752913898E-2</v>
      </c>
      <c r="AA71" s="4">
        <v>1000115711</v>
      </c>
      <c r="AB71" s="136" t="s">
        <v>428</v>
      </c>
      <c r="AC71" s="80">
        <f t="shared" si="8"/>
        <v>23766666.666666668</v>
      </c>
      <c r="AD71" s="81" t="s">
        <v>243</v>
      </c>
      <c r="AE71" s="82" t="s">
        <v>1</v>
      </c>
      <c r="AF71" s="83" t="s">
        <v>361</v>
      </c>
      <c r="AG71" s="83"/>
      <c r="AH71" s="84" t="str">
        <f t="shared" si="12"/>
        <v>CON-060</v>
      </c>
      <c r="AI71" s="81">
        <v>80111600</v>
      </c>
      <c r="AJ71" s="46" t="s">
        <v>35</v>
      </c>
      <c r="AK71" s="47">
        <f t="shared" si="9"/>
        <v>45315</v>
      </c>
      <c r="AL71" s="47">
        <f t="shared" si="10"/>
        <v>45315</v>
      </c>
      <c r="AM71" s="233">
        <f t="shared" si="13"/>
        <v>10</v>
      </c>
      <c r="AN71" s="48" t="s">
        <v>241</v>
      </c>
      <c r="AO71" s="49" t="s">
        <v>242</v>
      </c>
      <c r="AP71" s="50">
        <f t="shared" si="14"/>
        <v>23766666.666666668</v>
      </c>
      <c r="AQ71" s="50">
        <f t="shared" si="11"/>
        <v>23766666.666666668</v>
      </c>
      <c r="AR71" s="48" t="s">
        <v>244</v>
      </c>
      <c r="AS71" s="48" t="s">
        <v>245</v>
      </c>
      <c r="AT71" s="51" t="s">
        <v>246</v>
      </c>
      <c r="AU71" s="52" t="s">
        <v>247</v>
      </c>
      <c r="AV71" s="53" t="str">
        <f t="shared" si="16"/>
        <v xml:space="preserve">SUBDIRECCIÓN DE GESTIÓN DE SISTEMAS DE INFORMACIÓN </v>
      </c>
      <c r="AW71" s="54" t="s">
        <v>248</v>
      </c>
      <c r="AX71" s="55" t="s">
        <v>249</v>
      </c>
      <c r="AY71" s="48" t="s">
        <v>244</v>
      </c>
      <c r="AZ71" s="48" t="s">
        <v>244</v>
      </c>
      <c r="BA71" s="56" t="s">
        <v>250</v>
      </c>
      <c r="BB71" s="57" t="s">
        <v>251</v>
      </c>
      <c r="BC71" s="57" t="s">
        <v>252</v>
      </c>
      <c r="BD71" s="57" t="s">
        <v>250</v>
      </c>
      <c r="BE71" s="57"/>
      <c r="BF71" s="57"/>
    </row>
    <row r="72" spans="1:58" ht="67.5" x14ac:dyDescent="0.2">
      <c r="A72" s="44" t="s">
        <v>309</v>
      </c>
      <c r="B72" s="45" t="s">
        <v>63</v>
      </c>
      <c r="C72" s="45" t="s">
        <v>25</v>
      </c>
      <c r="D72" s="45" t="s">
        <v>31</v>
      </c>
      <c r="E72" s="45"/>
      <c r="F72" s="45" t="s">
        <v>383</v>
      </c>
      <c r="G72" s="45" t="s">
        <v>374</v>
      </c>
      <c r="H72" s="45" t="s">
        <v>67</v>
      </c>
      <c r="I72" s="45">
        <v>4</v>
      </c>
      <c r="J72" s="75">
        <v>5500000</v>
      </c>
      <c r="K72" s="172">
        <f t="shared" si="2"/>
        <v>3.6363636363636376E-2</v>
      </c>
      <c r="L72" s="166">
        <f>IF(H72="OTRO",(J72*1.05),VLOOKUP((I72&amp;H72),'ESCALAS Salarios'!$D$2:$F$30,3,0))</f>
        <v>5700000</v>
      </c>
      <c r="M72" s="45">
        <v>1</v>
      </c>
      <c r="N72" s="45" t="s">
        <v>485</v>
      </c>
      <c r="O72" s="59">
        <v>45306</v>
      </c>
      <c r="P72" s="58">
        <v>45632</v>
      </c>
      <c r="Q72" s="59">
        <f>VLOOKUP($A72,[6]Contratistas!$A$3:$R$117,10,0)</f>
        <v>45315</v>
      </c>
      <c r="R72" s="237">
        <f>VLOOKUP($A72,[6]Contratistas!$A$3:$R$117,11,0)</f>
        <v>45646</v>
      </c>
      <c r="S72" s="78">
        <f t="shared" si="3"/>
        <v>62890000</v>
      </c>
      <c r="T72" s="59"/>
      <c r="U72" s="59"/>
      <c r="V72" s="78">
        <f t="shared" si="4"/>
        <v>0</v>
      </c>
      <c r="W72" s="76">
        <f t="shared" si="5"/>
        <v>11</v>
      </c>
      <c r="X72" s="93">
        <f t="shared" si="6"/>
        <v>62890000</v>
      </c>
      <c r="Y72" s="93">
        <v>61050000</v>
      </c>
      <c r="Z72" s="171">
        <f t="shared" si="7"/>
        <v>3.0139230139230033E-2</v>
      </c>
      <c r="AA72" s="4">
        <v>80027001</v>
      </c>
      <c r="AB72" s="136" t="s">
        <v>36</v>
      </c>
      <c r="AC72" s="80">
        <f t="shared" si="8"/>
        <v>62890000</v>
      </c>
      <c r="AD72" s="81" t="s">
        <v>243</v>
      </c>
      <c r="AE72" s="82" t="s">
        <v>1</v>
      </c>
      <c r="AF72" s="83" t="s">
        <v>361</v>
      </c>
      <c r="AG72" s="83"/>
      <c r="AH72" s="84" t="str">
        <f t="shared" si="12"/>
        <v>CON-062</v>
      </c>
      <c r="AI72" s="81">
        <v>80111600</v>
      </c>
      <c r="AJ72" s="46" t="s">
        <v>174</v>
      </c>
      <c r="AK72" s="47">
        <f t="shared" si="9"/>
        <v>45315</v>
      </c>
      <c r="AL72" s="47">
        <f t="shared" si="10"/>
        <v>45315</v>
      </c>
      <c r="AM72" s="233">
        <f t="shared" si="13"/>
        <v>11</v>
      </c>
      <c r="AN72" s="48" t="s">
        <v>241</v>
      </c>
      <c r="AO72" s="49" t="s">
        <v>242</v>
      </c>
      <c r="AP72" s="50">
        <f t="shared" si="14"/>
        <v>62890000</v>
      </c>
      <c r="AQ72" s="50">
        <f t="shared" si="11"/>
        <v>62890000</v>
      </c>
      <c r="AR72" s="48" t="s">
        <v>244</v>
      </c>
      <c r="AS72" s="48" t="s">
        <v>245</v>
      </c>
      <c r="AT72" s="51" t="s">
        <v>246</v>
      </c>
      <c r="AU72" s="52" t="s">
        <v>247</v>
      </c>
      <c r="AV72" s="53" t="str">
        <f t="shared" si="16"/>
        <v xml:space="preserve">SUBDIRECCIÓN DE GESTIÓN DE SISTEMAS DE INFORMACIÓN </v>
      </c>
      <c r="AW72" s="54" t="s">
        <v>248</v>
      </c>
      <c r="AX72" s="55" t="s">
        <v>249</v>
      </c>
      <c r="AY72" s="48" t="s">
        <v>244</v>
      </c>
      <c r="AZ72" s="48" t="s">
        <v>244</v>
      </c>
      <c r="BA72" s="56" t="s">
        <v>250</v>
      </c>
      <c r="BB72" s="57" t="s">
        <v>251</v>
      </c>
      <c r="BC72" s="57" t="s">
        <v>252</v>
      </c>
      <c r="BD72" s="57" t="s">
        <v>250</v>
      </c>
      <c r="BE72" s="57"/>
      <c r="BF72" s="57"/>
    </row>
    <row r="73" spans="1:58" ht="109.5" customHeight="1" x14ac:dyDescent="0.2">
      <c r="A73" s="44" t="s">
        <v>310</v>
      </c>
      <c r="B73" s="45" t="s">
        <v>63</v>
      </c>
      <c r="C73" s="45" t="s">
        <v>25</v>
      </c>
      <c r="D73" s="45" t="s">
        <v>31</v>
      </c>
      <c r="E73" s="45"/>
      <c r="F73" s="45" t="s">
        <v>383</v>
      </c>
      <c r="G73" s="45" t="s">
        <v>374</v>
      </c>
      <c r="H73" s="45" t="s">
        <v>67</v>
      </c>
      <c r="I73" s="45">
        <v>1</v>
      </c>
      <c r="J73" s="75">
        <v>4550000</v>
      </c>
      <c r="K73" s="172">
        <f t="shared" si="2"/>
        <v>3.2967032967033072E-2</v>
      </c>
      <c r="L73" s="166">
        <f>IF(H73="OTRO",(J73*1.05),VLOOKUP((I73&amp;H73),'ESCALAS Salarios'!$D$2:$F$30,3,0))</f>
        <v>4700000</v>
      </c>
      <c r="M73" s="45">
        <v>1</v>
      </c>
      <c r="N73" s="45" t="s">
        <v>485</v>
      </c>
      <c r="O73" s="59">
        <v>45306</v>
      </c>
      <c r="P73" s="58">
        <v>45632</v>
      </c>
      <c r="Q73" s="59">
        <f>VLOOKUP($A73,[6]Contratistas!$A$3:$R$117,10,0)</f>
        <v>45315</v>
      </c>
      <c r="R73" s="237">
        <f>VLOOKUP($A73,[6]Contratistas!$A$3:$R$117,11,0)</f>
        <v>45646</v>
      </c>
      <c r="S73" s="78">
        <f t="shared" si="3"/>
        <v>51856666.666666664</v>
      </c>
      <c r="T73" s="59"/>
      <c r="U73" s="59"/>
      <c r="V73" s="78">
        <f t="shared" si="4"/>
        <v>0</v>
      </c>
      <c r="W73" s="76">
        <f t="shared" si="5"/>
        <v>11</v>
      </c>
      <c r="X73" s="93">
        <f t="shared" si="6"/>
        <v>51856666.666666664</v>
      </c>
      <c r="Y73" s="93">
        <v>50050000</v>
      </c>
      <c r="Z73" s="171">
        <f t="shared" si="7"/>
        <v>3.609723609723603E-2</v>
      </c>
      <c r="AA73" s="4">
        <v>79482785</v>
      </c>
      <c r="AB73" s="136" t="s">
        <v>356</v>
      </c>
      <c r="AC73" s="80">
        <f t="shared" si="8"/>
        <v>51856666.666666664</v>
      </c>
      <c r="AD73" s="81" t="s">
        <v>243</v>
      </c>
      <c r="AE73" s="82" t="s">
        <v>1</v>
      </c>
      <c r="AF73" s="83" t="s">
        <v>361</v>
      </c>
      <c r="AG73" s="83"/>
      <c r="AH73" s="84" t="str">
        <f t="shared" si="12"/>
        <v>CON-063</v>
      </c>
      <c r="AI73" s="81">
        <v>80111600</v>
      </c>
      <c r="AJ73" s="46" t="s">
        <v>211</v>
      </c>
      <c r="AK73" s="47">
        <f t="shared" si="9"/>
        <v>45315</v>
      </c>
      <c r="AL73" s="47">
        <f t="shared" si="10"/>
        <v>45315</v>
      </c>
      <c r="AM73" s="233">
        <f t="shared" si="13"/>
        <v>11</v>
      </c>
      <c r="AN73" s="48" t="s">
        <v>241</v>
      </c>
      <c r="AO73" s="49" t="s">
        <v>242</v>
      </c>
      <c r="AP73" s="50">
        <f t="shared" si="14"/>
        <v>51856666.666666664</v>
      </c>
      <c r="AQ73" s="50">
        <f t="shared" si="11"/>
        <v>51856666.666666664</v>
      </c>
      <c r="AR73" s="48" t="s">
        <v>244</v>
      </c>
      <c r="AS73" s="48" t="s">
        <v>245</v>
      </c>
      <c r="AT73" s="51" t="s">
        <v>246</v>
      </c>
      <c r="AU73" s="52" t="s">
        <v>247</v>
      </c>
      <c r="AV73" s="53" t="str">
        <f t="shared" si="16"/>
        <v xml:space="preserve">SUBDIRECCIÓN DE GESTIÓN DE SISTEMAS DE INFORMACIÓN </v>
      </c>
      <c r="AW73" s="54" t="s">
        <v>248</v>
      </c>
      <c r="AX73" s="55" t="s">
        <v>249</v>
      </c>
      <c r="AY73" s="48" t="s">
        <v>244</v>
      </c>
      <c r="AZ73" s="48" t="s">
        <v>244</v>
      </c>
      <c r="BA73" s="56" t="s">
        <v>250</v>
      </c>
      <c r="BB73" s="57" t="s">
        <v>251</v>
      </c>
      <c r="BC73" s="57" t="s">
        <v>252</v>
      </c>
      <c r="BD73" s="57" t="s">
        <v>250</v>
      </c>
      <c r="BE73" s="57"/>
      <c r="BF73" s="57"/>
    </row>
    <row r="74" spans="1:58" ht="45" x14ac:dyDescent="0.2">
      <c r="A74" s="44" t="s">
        <v>311</v>
      </c>
      <c r="B74" s="45" t="s">
        <v>63</v>
      </c>
      <c r="C74" s="45" t="s">
        <v>25</v>
      </c>
      <c r="D74" s="45" t="s">
        <v>31</v>
      </c>
      <c r="E74" s="45"/>
      <c r="F74" s="45" t="s">
        <v>383</v>
      </c>
      <c r="G74" s="45" t="s">
        <v>374</v>
      </c>
      <c r="H74" s="45" t="s">
        <v>69</v>
      </c>
      <c r="I74" s="45">
        <v>6</v>
      </c>
      <c r="J74" s="75">
        <v>4200000</v>
      </c>
      <c r="K74" s="172">
        <f t="shared" si="2"/>
        <v>4.7619047619047672E-2</v>
      </c>
      <c r="L74" s="166">
        <f>IF(H74="OTRO",(J74*1.05),VLOOKUP((I74&amp;H74),'ESCALAS Salarios'!$D$2:$F$30,3,0))</f>
        <v>4400000</v>
      </c>
      <c r="M74" s="45">
        <v>1</v>
      </c>
      <c r="N74" s="45" t="s">
        <v>485</v>
      </c>
      <c r="O74" s="59">
        <v>45327</v>
      </c>
      <c r="P74" s="58">
        <v>45654</v>
      </c>
      <c r="Q74" s="59">
        <f>VLOOKUP($A74,[6]Contratistas!$A$3:$R$117,10,0)</f>
        <v>45315</v>
      </c>
      <c r="R74" s="237">
        <f>VLOOKUP($A74,[6]Contratistas!$A$3:$R$117,11,0)</f>
        <v>45625</v>
      </c>
      <c r="S74" s="78">
        <f t="shared" si="3"/>
        <v>45466666.666666672</v>
      </c>
      <c r="T74" s="59"/>
      <c r="U74" s="59"/>
      <c r="V74" s="78">
        <f t="shared" si="4"/>
        <v>0</v>
      </c>
      <c r="W74" s="76">
        <f t="shared" si="5"/>
        <v>10</v>
      </c>
      <c r="X74" s="93">
        <f t="shared" si="6"/>
        <v>45466666.666666672</v>
      </c>
      <c r="Y74" s="93">
        <v>46200000</v>
      </c>
      <c r="Z74" s="171">
        <f t="shared" si="7"/>
        <v>-1.5873015873015817E-2</v>
      </c>
      <c r="AA74" s="4">
        <v>80832319</v>
      </c>
      <c r="AB74" s="136" t="s">
        <v>429</v>
      </c>
      <c r="AC74" s="80">
        <f t="shared" si="8"/>
        <v>45466666.666666672</v>
      </c>
      <c r="AD74" s="81" t="s">
        <v>243</v>
      </c>
      <c r="AE74" s="82" t="s">
        <v>1</v>
      </c>
      <c r="AF74" s="83" t="s">
        <v>361</v>
      </c>
      <c r="AG74" s="83"/>
      <c r="AH74" s="84" t="str">
        <f t="shared" si="12"/>
        <v>CON-064</v>
      </c>
      <c r="AI74" s="81">
        <v>80111600</v>
      </c>
      <c r="AJ74" s="46" t="s">
        <v>364</v>
      </c>
      <c r="AK74" s="47">
        <f t="shared" si="9"/>
        <v>45315</v>
      </c>
      <c r="AL74" s="47">
        <f t="shared" si="10"/>
        <v>45315</v>
      </c>
      <c r="AM74" s="233">
        <f t="shared" si="13"/>
        <v>10</v>
      </c>
      <c r="AN74" s="48" t="s">
        <v>241</v>
      </c>
      <c r="AO74" s="49" t="s">
        <v>242</v>
      </c>
      <c r="AP74" s="50">
        <f t="shared" si="14"/>
        <v>45466666.666666672</v>
      </c>
      <c r="AQ74" s="50">
        <f t="shared" si="11"/>
        <v>45466666.666666672</v>
      </c>
      <c r="AR74" s="48" t="s">
        <v>244</v>
      </c>
      <c r="AS74" s="48" t="s">
        <v>245</v>
      </c>
      <c r="AT74" s="51" t="s">
        <v>246</v>
      </c>
      <c r="AU74" s="52" t="s">
        <v>247</v>
      </c>
      <c r="AV74" s="53" t="str">
        <f t="shared" si="16"/>
        <v xml:space="preserve">SUBDIRECCIÓN DE GESTIÓN DE SISTEMAS DE INFORMACIÓN </v>
      </c>
      <c r="AW74" s="54" t="s">
        <v>248</v>
      </c>
      <c r="AX74" s="55" t="s">
        <v>249</v>
      </c>
      <c r="AY74" s="48" t="s">
        <v>244</v>
      </c>
      <c r="AZ74" s="48" t="s">
        <v>244</v>
      </c>
      <c r="BA74" s="56" t="s">
        <v>250</v>
      </c>
      <c r="BB74" s="57" t="s">
        <v>251</v>
      </c>
      <c r="BC74" s="57" t="s">
        <v>252</v>
      </c>
      <c r="BD74" s="57" t="s">
        <v>250</v>
      </c>
      <c r="BE74" s="57"/>
      <c r="BF74" s="57"/>
    </row>
    <row r="75" spans="1:58" ht="45" x14ac:dyDescent="0.2">
      <c r="A75" s="44" t="s">
        <v>312</v>
      </c>
      <c r="B75" s="45" t="s">
        <v>63</v>
      </c>
      <c r="C75" s="45" t="s">
        <v>25</v>
      </c>
      <c r="D75" s="45" t="s">
        <v>31</v>
      </c>
      <c r="E75" s="45"/>
      <c r="F75" s="45" t="s">
        <v>383</v>
      </c>
      <c r="G75" s="45" t="s">
        <v>374</v>
      </c>
      <c r="H75" s="45" t="s">
        <v>69</v>
      </c>
      <c r="I75" s="45">
        <v>3</v>
      </c>
      <c r="J75" s="75">
        <v>3400000</v>
      </c>
      <c r="K75" s="172">
        <f t="shared" si="2"/>
        <v>5.8823529411764719E-2</v>
      </c>
      <c r="L75" s="166">
        <f>IF(H75="OTRO",(J75*1.05),VLOOKUP((I75&amp;H75),'ESCALAS Salarios'!$D$2:$F$30,3,0))</f>
        <v>3600000</v>
      </c>
      <c r="M75" s="45">
        <v>1</v>
      </c>
      <c r="N75" s="45" t="s">
        <v>485</v>
      </c>
      <c r="O75" s="59">
        <v>45327</v>
      </c>
      <c r="P75" s="58">
        <v>45639</v>
      </c>
      <c r="Q75" s="59">
        <f>VLOOKUP($A75,[6]Contratistas!$A$3:$R$117,10,0)</f>
        <v>45315</v>
      </c>
      <c r="R75" s="237">
        <f>VLOOKUP($A75,[6]Contratistas!$A$3:$R$117,11,0)</f>
        <v>45625</v>
      </c>
      <c r="S75" s="78">
        <f t="shared" si="3"/>
        <v>37200000</v>
      </c>
      <c r="T75" s="59"/>
      <c r="U75" s="59"/>
      <c r="V75" s="78">
        <f t="shared" si="4"/>
        <v>0</v>
      </c>
      <c r="W75" s="76">
        <f t="shared" si="5"/>
        <v>10</v>
      </c>
      <c r="X75" s="93">
        <f t="shared" si="6"/>
        <v>37200000</v>
      </c>
      <c r="Y75" s="93">
        <v>35700000</v>
      </c>
      <c r="Z75" s="171">
        <f t="shared" si="7"/>
        <v>4.2016806722689148E-2</v>
      </c>
      <c r="AA75" s="4">
        <v>1010236414</v>
      </c>
      <c r="AB75" s="136" t="s">
        <v>430</v>
      </c>
      <c r="AC75" s="80">
        <f t="shared" si="8"/>
        <v>37200000</v>
      </c>
      <c r="AD75" s="81" t="s">
        <v>243</v>
      </c>
      <c r="AE75" s="82" t="s">
        <v>1</v>
      </c>
      <c r="AF75" s="83" t="s">
        <v>361</v>
      </c>
      <c r="AG75" s="83"/>
      <c r="AH75" s="84" t="str">
        <f t="shared" si="12"/>
        <v>CON-065</v>
      </c>
      <c r="AI75" s="81">
        <v>80111600</v>
      </c>
      <c r="AJ75" s="46" t="s">
        <v>365</v>
      </c>
      <c r="AK75" s="47">
        <f t="shared" si="9"/>
        <v>45315</v>
      </c>
      <c r="AL75" s="47">
        <f t="shared" si="10"/>
        <v>45315</v>
      </c>
      <c r="AM75" s="233">
        <f t="shared" si="13"/>
        <v>10</v>
      </c>
      <c r="AN75" s="48" t="s">
        <v>241</v>
      </c>
      <c r="AO75" s="49" t="s">
        <v>242</v>
      </c>
      <c r="AP75" s="50">
        <f t="shared" si="14"/>
        <v>37200000</v>
      </c>
      <c r="AQ75" s="50">
        <f t="shared" si="11"/>
        <v>37200000</v>
      </c>
      <c r="AR75" s="48" t="s">
        <v>244</v>
      </c>
      <c r="AS75" s="48" t="s">
        <v>245</v>
      </c>
      <c r="AT75" s="51" t="s">
        <v>246</v>
      </c>
      <c r="AU75" s="52" t="s">
        <v>247</v>
      </c>
      <c r="AV75" s="53" t="str">
        <f t="shared" si="16"/>
        <v xml:space="preserve">SUBDIRECCIÓN DE GESTIÓN DE SISTEMAS DE INFORMACIÓN </v>
      </c>
      <c r="AW75" s="54" t="s">
        <v>248</v>
      </c>
      <c r="AX75" s="55" t="s">
        <v>249</v>
      </c>
      <c r="AY75" s="48" t="s">
        <v>244</v>
      </c>
      <c r="AZ75" s="48" t="s">
        <v>244</v>
      </c>
      <c r="BA75" s="56" t="s">
        <v>250</v>
      </c>
      <c r="BB75" s="57" t="s">
        <v>251</v>
      </c>
      <c r="BC75" s="57" t="s">
        <v>252</v>
      </c>
      <c r="BD75" s="57" t="s">
        <v>250</v>
      </c>
      <c r="BE75" s="57"/>
      <c r="BF75" s="57"/>
    </row>
    <row r="76" spans="1:58" ht="45" x14ac:dyDescent="0.2">
      <c r="A76" s="44" t="s">
        <v>313</v>
      </c>
      <c r="B76" s="45" t="s">
        <v>63</v>
      </c>
      <c r="C76" s="45" t="s">
        <v>25</v>
      </c>
      <c r="D76" s="45" t="s">
        <v>31</v>
      </c>
      <c r="E76" s="45"/>
      <c r="F76" s="45" t="s">
        <v>383</v>
      </c>
      <c r="G76" s="45" t="s">
        <v>374</v>
      </c>
      <c r="H76" s="45" t="s">
        <v>69</v>
      </c>
      <c r="I76" s="45">
        <v>6</v>
      </c>
      <c r="J76" s="75">
        <v>4200000</v>
      </c>
      <c r="K76" s="172">
        <f t="shared" si="2"/>
        <v>4.7619047619047672E-2</v>
      </c>
      <c r="L76" s="166">
        <f>IF(H76="OTRO",(J76*1.05),VLOOKUP((I76&amp;H76),'ESCALAS Salarios'!$D$2:$F$30,3,0))</f>
        <v>4400000</v>
      </c>
      <c r="M76" s="45">
        <v>1</v>
      </c>
      <c r="N76" s="45" t="s">
        <v>485</v>
      </c>
      <c r="O76" s="59">
        <v>45327</v>
      </c>
      <c r="P76" s="58">
        <v>45641</v>
      </c>
      <c r="Q76" s="59">
        <f>VLOOKUP($A76,[6]Contratistas!$A$3:$R$117,10,0)</f>
        <v>45315</v>
      </c>
      <c r="R76" s="237">
        <f>VLOOKUP($A76,[6]Contratistas!$A$3:$R$117,11,0)</f>
        <v>45625</v>
      </c>
      <c r="S76" s="78">
        <f t="shared" si="3"/>
        <v>45466666.666666672</v>
      </c>
      <c r="T76" s="59"/>
      <c r="U76" s="59"/>
      <c r="V76" s="78">
        <f t="shared" si="4"/>
        <v>0</v>
      </c>
      <c r="W76" s="76">
        <f t="shared" si="5"/>
        <v>10</v>
      </c>
      <c r="X76" s="93">
        <f t="shared" si="6"/>
        <v>45466666.666666672</v>
      </c>
      <c r="Y76" s="93">
        <v>43680000</v>
      </c>
      <c r="Z76" s="171">
        <f t="shared" si="7"/>
        <v>4.090354090354098E-2</v>
      </c>
      <c r="AA76" s="4">
        <v>80058485</v>
      </c>
      <c r="AB76" s="136" t="s">
        <v>37</v>
      </c>
      <c r="AC76" s="80">
        <f t="shared" si="8"/>
        <v>45466666.666666672</v>
      </c>
      <c r="AD76" s="81" t="s">
        <v>243</v>
      </c>
      <c r="AE76" s="82" t="s">
        <v>1</v>
      </c>
      <c r="AF76" s="83" t="s">
        <v>361</v>
      </c>
      <c r="AG76" s="83"/>
      <c r="AH76" s="84" t="str">
        <f t="shared" si="12"/>
        <v>CON-066</v>
      </c>
      <c r="AI76" s="81">
        <v>80111600</v>
      </c>
      <c r="AJ76" s="46" t="s">
        <v>175</v>
      </c>
      <c r="AK76" s="47">
        <f t="shared" si="9"/>
        <v>45315</v>
      </c>
      <c r="AL76" s="47">
        <f t="shared" si="10"/>
        <v>45315</v>
      </c>
      <c r="AM76" s="233">
        <f t="shared" si="13"/>
        <v>10</v>
      </c>
      <c r="AN76" s="48" t="s">
        <v>241</v>
      </c>
      <c r="AO76" s="49" t="s">
        <v>242</v>
      </c>
      <c r="AP76" s="50">
        <f t="shared" si="14"/>
        <v>45466666.666666672</v>
      </c>
      <c r="AQ76" s="50">
        <f t="shared" si="11"/>
        <v>45466666.666666672</v>
      </c>
      <c r="AR76" s="48" t="s">
        <v>244</v>
      </c>
      <c r="AS76" s="48" t="s">
        <v>245</v>
      </c>
      <c r="AT76" s="51" t="s">
        <v>246</v>
      </c>
      <c r="AU76" s="52" t="s">
        <v>247</v>
      </c>
      <c r="AV76" s="53" t="str">
        <f t="shared" si="16"/>
        <v xml:space="preserve">SUBDIRECCIÓN DE GESTIÓN DE SISTEMAS DE INFORMACIÓN </v>
      </c>
      <c r="AW76" s="54" t="s">
        <v>248</v>
      </c>
      <c r="AX76" s="55" t="s">
        <v>249</v>
      </c>
      <c r="AY76" s="48" t="s">
        <v>244</v>
      </c>
      <c r="AZ76" s="48" t="s">
        <v>244</v>
      </c>
      <c r="BA76" s="56" t="s">
        <v>250</v>
      </c>
      <c r="BB76" s="57" t="s">
        <v>251</v>
      </c>
      <c r="BC76" s="57" t="s">
        <v>252</v>
      </c>
      <c r="BD76" s="57" t="s">
        <v>250</v>
      </c>
      <c r="BE76" s="57"/>
      <c r="BF76" s="57"/>
    </row>
    <row r="77" spans="1:58" ht="45" x14ac:dyDescent="0.2">
      <c r="A77" s="44" t="s">
        <v>314</v>
      </c>
      <c r="B77" s="45" t="s">
        <v>63</v>
      </c>
      <c r="C77" s="45" t="s">
        <v>25</v>
      </c>
      <c r="D77" s="45" t="s">
        <v>38</v>
      </c>
      <c r="E77" s="45" t="s">
        <v>82</v>
      </c>
      <c r="F77" s="45" t="s">
        <v>383</v>
      </c>
      <c r="G77" s="45" t="s">
        <v>374</v>
      </c>
      <c r="H77" s="45" t="s">
        <v>67</v>
      </c>
      <c r="I77" s="45">
        <v>3</v>
      </c>
      <c r="J77" s="75">
        <v>5000000</v>
      </c>
      <c r="K77" s="172">
        <f t="shared" ref="K77:K125" si="17">IF(J77="",1,((L77/J77)-1))</f>
        <v>7.0000000000000062E-2</v>
      </c>
      <c r="L77" s="166">
        <f>IF(H77="OTRO",(J77*1.05),VLOOKUP((I77&amp;H77),'ESCALAS Salarios'!$D$2:$F$30,3,0))</f>
        <v>5350000</v>
      </c>
      <c r="M77" s="45">
        <v>1</v>
      </c>
      <c r="N77" s="45" t="s">
        <v>485</v>
      </c>
      <c r="O77" s="59">
        <v>45327</v>
      </c>
      <c r="P77" s="58">
        <v>45632</v>
      </c>
      <c r="Q77" s="59">
        <f>VLOOKUP($A77,[6]Contratistas!$A$3:$R$117,10,0)</f>
        <v>45313</v>
      </c>
      <c r="R77" s="237">
        <f>VLOOKUP($A77,[6]Contratistas!$A$3:$R$117,11,0)</f>
        <v>45632</v>
      </c>
      <c r="S77" s="78">
        <f t="shared" ref="S77:S133" si="18">IF($N77="MENSUAL",ROUND((((R77-Q77))/30),0)*$L77*$M77,((R77-Q77)/30)*$L77*$M77)</f>
        <v>56888333.333333328</v>
      </c>
      <c r="T77" s="59"/>
      <c r="U77" s="59"/>
      <c r="V77" s="78">
        <f t="shared" ref="V77:V133" si="19">IF($N77="MENSUAL",ROUND((((U77-T77))/30),0)*$L77,((U77-T77)/30)*$L77)</f>
        <v>0</v>
      </c>
      <c r="W77" s="76">
        <f t="shared" ref="W77:W133" si="20">ROUND((((R77-Q77)+(U77-T77))/30),0)</f>
        <v>11</v>
      </c>
      <c r="X77" s="93">
        <f t="shared" ref="X77:X133" si="21">+S77+V77</f>
        <v>56888333.333333328</v>
      </c>
      <c r="Y77" s="93">
        <v>3166670</v>
      </c>
      <c r="Z77" s="171">
        <f t="shared" ref="Z77:Z95" si="22">IF(Y77="",1,IF(Y77=0,1,((X77/Y77)-1)))</f>
        <v>16.96471793187586</v>
      </c>
      <c r="AA77" s="4">
        <v>1032468510</v>
      </c>
      <c r="AB77" s="136" t="s">
        <v>431</v>
      </c>
      <c r="AC77" s="80">
        <f t="shared" ref="AC77:AC133" si="23">+X77</f>
        <v>56888333.333333328</v>
      </c>
      <c r="AD77" s="81" t="s">
        <v>243</v>
      </c>
      <c r="AE77" s="82" t="s">
        <v>1</v>
      </c>
      <c r="AF77" s="83" t="s">
        <v>361</v>
      </c>
      <c r="AG77" s="83"/>
      <c r="AH77" s="84" t="str">
        <f t="shared" si="12"/>
        <v>CON-067</v>
      </c>
      <c r="AI77" s="81">
        <v>80111600</v>
      </c>
      <c r="AJ77" s="46" t="s">
        <v>388</v>
      </c>
      <c r="AK77" s="47">
        <f t="shared" ref="AK77:AK133" si="24">+Q77</f>
        <v>45313</v>
      </c>
      <c r="AL77" s="47">
        <f t="shared" ref="AL77:AL133" si="25">+AK77</f>
        <v>45313</v>
      </c>
      <c r="AM77" s="233">
        <f t="shared" si="13"/>
        <v>11</v>
      </c>
      <c r="AN77" s="48" t="s">
        <v>241</v>
      </c>
      <c r="AO77" s="49" t="s">
        <v>242</v>
      </c>
      <c r="AP77" s="50">
        <f t="shared" si="14"/>
        <v>56888333.333333328</v>
      </c>
      <c r="AQ77" s="50">
        <f t="shared" ref="AQ77:AQ133" si="26">+AP77</f>
        <v>56888333.333333328</v>
      </c>
      <c r="AR77" s="48" t="s">
        <v>244</v>
      </c>
      <c r="AS77" s="48" t="s">
        <v>245</v>
      </c>
      <c r="AT77" s="51" t="s">
        <v>246</v>
      </c>
      <c r="AU77" s="52" t="s">
        <v>247</v>
      </c>
      <c r="AV77" s="53" t="str">
        <f t="shared" si="16"/>
        <v>SUBDIRECCIÓN DE BIENESTAR UNIVERSITARIO</v>
      </c>
      <c r="AW77" s="54" t="s">
        <v>248</v>
      </c>
      <c r="AX77" s="55" t="s">
        <v>249</v>
      </c>
      <c r="AY77" s="48" t="s">
        <v>244</v>
      </c>
      <c r="AZ77" s="48" t="s">
        <v>244</v>
      </c>
      <c r="BA77" s="56" t="s">
        <v>250</v>
      </c>
      <c r="BB77" s="57" t="s">
        <v>251</v>
      </c>
      <c r="BC77" s="57" t="s">
        <v>252</v>
      </c>
      <c r="BD77" s="57" t="s">
        <v>250</v>
      </c>
      <c r="BE77" s="57"/>
      <c r="BF77" s="57"/>
    </row>
    <row r="78" spans="1:58" ht="33.75" x14ac:dyDescent="0.2">
      <c r="A78" s="44" t="s">
        <v>315</v>
      </c>
      <c r="B78" s="45" t="s">
        <v>63</v>
      </c>
      <c r="C78" s="45" t="s">
        <v>25</v>
      </c>
      <c r="D78" s="45" t="s">
        <v>38</v>
      </c>
      <c r="E78" s="45" t="s">
        <v>83</v>
      </c>
      <c r="F78" s="45" t="s">
        <v>383</v>
      </c>
      <c r="G78" s="45" t="s">
        <v>374</v>
      </c>
      <c r="H78" s="45" t="s">
        <v>69</v>
      </c>
      <c r="I78" s="45">
        <v>1</v>
      </c>
      <c r="J78" s="75">
        <v>3000000</v>
      </c>
      <c r="K78" s="172">
        <f t="shared" si="17"/>
        <v>3.3333333333333437E-2</v>
      </c>
      <c r="L78" s="166">
        <f>IF(H78="OTRO",(J78*1.05),VLOOKUP((I78&amp;H78),'ESCALAS Salarios'!$D$2:$F$30,3,0))</f>
        <v>3100000</v>
      </c>
      <c r="M78" s="45">
        <v>1</v>
      </c>
      <c r="N78" s="45" t="s">
        <v>485</v>
      </c>
      <c r="O78" s="59">
        <v>45327</v>
      </c>
      <c r="P78" s="58">
        <v>45632</v>
      </c>
      <c r="Q78" s="59">
        <f>VLOOKUP($A78,[6]Contratistas!$A$3:$R$117,10,0)</f>
        <v>45327</v>
      </c>
      <c r="R78" s="237">
        <f>VLOOKUP($A78,[6]Contratistas!$A$3:$R$117,11,0)</f>
        <v>45632</v>
      </c>
      <c r="S78" s="78">
        <f t="shared" si="18"/>
        <v>31516666.666666664</v>
      </c>
      <c r="T78" s="59"/>
      <c r="U78" s="59"/>
      <c r="V78" s="78">
        <f t="shared" si="19"/>
        <v>0</v>
      </c>
      <c r="W78" s="76">
        <f t="shared" si="20"/>
        <v>10</v>
      </c>
      <c r="X78" s="93">
        <f t="shared" si="21"/>
        <v>31516666.666666664</v>
      </c>
      <c r="Y78" s="93">
        <v>30500000</v>
      </c>
      <c r="Z78" s="171">
        <f t="shared" si="22"/>
        <v>3.3333333333333215E-2</v>
      </c>
      <c r="AA78" s="4">
        <v>80803237</v>
      </c>
      <c r="AB78" s="136" t="s">
        <v>432</v>
      </c>
      <c r="AC78" s="80">
        <f t="shared" si="23"/>
        <v>31516666.666666664</v>
      </c>
      <c r="AD78" s="81" t="s">
        <v>243</v>
      </c>
      <c r="AE78" s="82" t="s">
        <v>15</v>
      </c>
      <c r="AF78" s="83" t="s">
        <v>361</v>
      </c>
      <c r="AG78" s="83"/>
      <c r="AH78" s="84" t="str">
        <f t="shared" ref="AH78:AH133" si="27">"CON-"&amp;A78</f>
        <v>CON-068</v>
      </c>
      <c r="AI78" s="81">
        <v>80111600</v>
      </c>
      <c r="AJ78" s="46" t="s">
        <v>176</v>
      </c>
      <c r="AK78" s="47">
        <f t="shared" si="24"/>
        <v>45327</v>
      </c>
      <c r="AL78" s="47">
        <f t="shared" si="25"/>
        <v>45327</v>
      </c>
      <c r="AM78" s="233">
        <f t="shared" ref="AM78:AM133" si="28">+W78</f>
        <v>10</v>
      </c>
      <c r="AN78" s="48" t="s">
        <v>241</v>
      </c>
      <c r="AO78" s="49" t="s">
        <v>242</v>
      </c>
      <c r="AP78" s="50">
        <f t="shared" ref="AP78:AP133" si="29">+X78</f>
        <v>31516666.666666664</v>
      </c>
      <c r="AQ78" s="50">
        <f t="shared" si="26"/>
        <v>31516666.666666664</v>
      </c>
      <c r="AR78" s="48" t="s">
        <v>244</v>
      </c>
      <c r="AS78" s="48" t="s">
        <v>245</v>
      </c>
      <c r="AT78" s="51" t="s">
        <v>246</v>
      </c>
      <c r="AU78" s="52" t="s">
        <v>247</v>
      </c>
      <c r="AV78" s="53" t="str">
        <f t="shared" si="16"/>
        <v>SUBDIRECCIÓN DE BIENESTAR UNIVERSITARIO</v>
      </c>
      <c r="AW78" s="54" t="s">
        <v>248</v>
      </c>
      <c r="AX78" s="55" t="s">
        <v>249</v>
      </c>
      <c r="AY78" s="48" t="s">
        <v>244</v>
      </c>
      <c r="AZ78" s="48" t="s">
        <v>244</v>
      </c>
      <c r="BA78" s="56" t="s">
        <v>250</v>
      </c>
      <c r="BB78" s="57" t="s">
        <v>251</v>
      </c>
      <c r="BC78" s="57" t="s">
        <v>252</v>
      </c>
      <c r="BD78" s="57" t="s">
        <v>250</v>
      </c>
      <c r="BE78" s="57"/>
      <c r="BF78" s="57"/>
    </row>
    <row r="79" spans="1:58" ht="45" x14ac:dyDescent="0.2">
      <c r="A79" s="44" t="s">
        <v>316</v>
      </c>
      <c r="B79" s="45" t="s">
        <v>63</v>
      </c>
      <c r="C79" s="45" t="s">
        <v>25</v>
      </c>
      <c r="D79" s="45" t="s">
        <v>38</v>
      </c>
      <c r="E79" s="45" t="s">
        <v>84</v>
      </c>
      <c r="F79" s="45" t="s">
        <v>39</v>
      </c>
      <c r="G79" s="45" t="s">
        <v>75</v>
      </c>
      <c r="H79" s="45" t="s">
        <v>71</v>
      </c>
      <c r="I79" s="45">
        <v>3</v>
      </c>
      <c r="J79" s="166">
        <v>1712528.2124999999</v>
      </c>
      <c r="K79" s="172">
        <f t="shared" si="17"/>
        <v>8.0274173877296073E-2</v>
      </c>
      <c r="L79" s="166">
        <f>IF(H79="OTRO",(J79*1.05),VLOOKUP((I79&amp;H79),'ESCALAS Salarios'!$D$2:$F$30,3,0))</f>
        <v>1850000</v>
      </c>
      <c r="M79" s="45">
        <v>1</v>
      </c>
      <c r="N79" s="45" t="s">
        <v>485</v>
      </c>
      <c r="O79" s="59">
        <v>45335</v>
      </c>
      <c r="P79" s="58">
        <v>45449</v>
      </c>
      <c r="Q79" s="59">
        <f>VLOOKUP($A79,[6]Contratistas!$A$3:$R$117,10,0)</f>
        <v>45335</v>
      </c>
      <c r="R79" s="237">
        <f>VLOOKUP($A79,[6]Contratistas!$A$3:$R$117,11,0)</f>
        <v>45449</v>
      </c>
      <c r="S79" s="78">
        <f t="shared" si="18"/>
        <v>7030000</v>
      </c>
      <c r="T79" s="59">
        <v>45517</v>
      </c>
      <c r="U79" s="58">
        <v>45624</v>
      </c>
      <c r="V79" s="78">
        <f t="shared" si="19"/>
        <v>6598333.333333334</v>
      </c>
      <c r="W79" s="76">
        <f t="shared" si="20"/>
        <v>7</v>
      </c>
      <c r="X79" s="93">
        <f t="shared" si="21"/>
        <v>13628333.333333334</v>
      </c>
      <c r="Y79" s="93">
        <v>16954029.303750001</v>
      </c>
      <c r="Z79" s="171">
        <f t="shared" si="22"/>
        <v>-0.19615962145830834</v>
      </c>
      <c r="AA79" s="4">
        <v>1032401108</v>
      </c>
      <c r="AB79" s="136" t="s">
        <v>433</v>
      </c>
      <c r="AC79" s="80">
        <f t="shared" si="23"/>
        <v>13628333.333333334</v>
      </c>
      <c r="AD79" s="81" t="s">
        <v>243</v>
      </c>
      <c r="AE79" s="82" t="s">
        <v>15</v>
      </c>
      <c r="AF79" s="83" t="s">
        <v>361</v>
      </c>
      <c r="AG79" s="83"/>
      <c r="AH79" s="84" t="str">
        <f t="shared" si="27"/>
        <v>CON-069</v>
      </c>
      <c r="AI79" s="178">
        <v>80111600</v>
      </c>
      <c r="AJ79" s="177" t="s">
        <v>177</v>
      </c>
      <c r="AK79" s="47">
        <f t="shared" si="24"/>
        <v>45335</v>
      </c>
      <c r="AL79" s="47">
        <f t="shared" si="25"/>
        <v>45335</v>
      </c>
      <c r="AM79" s="233">
        <f t="shared" si="28"/>
        <v>7</v>
      </c>
      <c r="AN79" s="48" t="s">
        <v>241</v>
      </c>
      <c r="AO79" s="49" t="s">
        <v>242</v>
      </c>
      <c r="AP79" s="50">
        <f t="shared" si="29"/>
        <v>13628333.333333334</v>
      </c>
      <c r="AQ79" s="50">
        <f t="shared" si="26"/>
        <v>13628333.333333334</v>
      </c>
      <c r="AR79" s="48" t="s">
        <v>244</v>
      </c>
      <c r="AS79" s="48" t="s">
        <v>245</v>
      </c>
      <c r="AT79" s="51" t="s">
        <v>246</v>
      </c>
      <c r="AU79" s="52" t="s">
        <v>247</v>
      </c>
      <c r="AV79" s="53" t="str">
        <f t="shared" si="16"/>
        <v>SUBDIRECCIÓN DE BIENESTAR UNIVERSITARIO</v>
      </c>
      <c r="AW79" s="54" t="s">
        <v>248</v>
      </c>
      <c r="AX79" s="55" t="s">
        <v>249</v>
      </c>
      <c r="AY79" s="48" t="s">
        <v>244</v>
      </c>
      <c r="AZ79" s="48" t="s">
        <v>244</v>
      </c>
      <c r="BA79" s="56" t="s">
        <v>250</v>
      </c>
      <c r="BB79" s="57" t="s">
        <v>251</v>
      </c>
      <c r="BC79" s="57" t="s">
        <v>252</v>
      </c>
      <c r="BD79" s="57" t="s">
        <v>250</v>
      </c>
      <c r="BE79" s="57"/>
      <c r="BF79" s="57"/>
    </row>
    <row r="80" spans="1:58" ht="56.25" x14ac:dyDescent="0.2">
      <c r="A80" s="44" t="s">
        <v>317</v>
      </c>
      <c r="B80" s="45" t="s">
        <v>63</v>
      </c>
      <c r="C80" s="45" t="s">
        <v>25</v>
      </c>
      <c r="D80" s="45" t="s">
        <v>38</v>
      </c>
      <c r="E80" s="45" t="s">
        <v>84</v>
      </c>
      <c r="F80" s="45" t="s">
        <v>39</v>
      </c>
      <c r="G80" s="45" t="s">
        <v>75</v>
      </c>
      <c r="H80" s="45" t="s">
        <v>71</v>
      </c>
      <c r="I80" s="45">
        <v>3</v>
      </c>
      <c r="J80" s="166">
        <v>1712528.2124999999</v>
      </c>
      <c r="K80" s="172">
        <f t="shared" si="17"/>
        <v>8.0274173877296073E-2</v>
      </c>
      <c r="L80" s="166">
        <f>IF(H80="OTRO",(J80*1.05),VLOOKUP((I80&amp;H80),'ESCALAS Salarios'!$D$2:$F$30,3,0))</f>
        <v>1850000</v>
      </c>
      <c r="M80" s="45">
        <v>1</v>
      </c>
      <c r="N80" s="45" t="s">
        <v>485</v>
      </c>
      <c r="O80" s="59">
        <v>45335</v>
      </c>
      <c r="P80" s="58">
        <v>45449</v>
      </c>
      <c r="Q80" s="59">
        <f>VLOOKUP($A80,[6]Contratistas!$A$3:$R$117,10,0)</f>
        <v>45335</v>
      </c>
      <c r="R80" s="237">
        <f>VLOOKUP($A80,[6]Contratistas!$A$3:$R$117,11,0)</f>
        <v>45449</v>
      </c>
      <c r="S80" s="78">
        <f t="shared" si="18"/>
        <v>7030000</v>
      </c>
      <c r="T80" s="59">
        <v>45517</v>
      </c>
      <c r="U80" s="58">
        <v>45624</v>
      </c>
      <c r="V80" s="78">
        <f t="shared" si="19"/>
        <v>6598333.333333334</v>
      </c>
      <c r="W80" s="76">
        <f t="shared" si="20"/>
        <v>7</v>
      </c>
      <c r="X80" s="93">
        <f t="shared" si="21"/>
        <v>13628333.333333334</v>
      </c>
      <c r="Y80" s="93">
        <f>6621775.755*2.075</f>
        <v>13740184.691625001</v>
      </c>
      <c r="Z80" s="171">
        <f t="shared" si="22"/>
        <v>-8.140455226911425E-3</v>
      </c>
      <c r="AA80" s="4">
        <v>1072713023</v>
      </c>
      <c r="AB80" s="136" t="s">
        <v>434</v>
      </c>
      <c r="AC80" s="80">
        <f t="shared" si="23"/>
        <v>13628333.333333334</v>
      </c>
      <c r="AD80" s="81" t="s">
        <v>243</v>
      </c>
      <c r="AE80" s="82" t="s">
        <v>15</v>
      </c>
      <c r="AF80" s="83" t="s">
        <v>361</v>
      </c>
      <c r="AG80" s="83"/>
      <c r="AH80" s="84" t="str">
        <f t="shared" si="27"/>
        <v>CON-070</v>
      </c>
      <c r="AI80" s="178">
        <v>80111600</v>
      </c>
      <c r="AJ80" s="177" t="s">
        <v>178</v>
      </c>
      <c r="AK80" s="47">
        <f t="shared" si="24"/>
        <v>45335</v>
      </c>
      <c r="AL80" s="47">
        <f t="shared" si="25"/>
        <v>45335</v>
      </c>
      <c r="AM80" s="233">
        <f t="shared" si="28"/>
        <v>7</v>
      </c>
      <c r="AN80" s="48" t="s">
        <v>241</v>
      </c>
      <c r="AO80" s="49" t="s">
        <v>242</v>
      </c>
      <c r="AP80" s="50">
        <f t="shared" si="29"/>
        <v>13628333.333333334</v>
      </c>
      <c r="AQ80" s="50">
        <f t="shared" si="26"/>
        <v>13628333.333333334</v>
      </c>
      <c r="AR80" s="48" t="s">
        <v>244</v>
      </c>
      <c r="AS80" s="48" t="s">
        <v>245</v>
      </c>
      <c r="AT80" s="51" t="s">
        <v>246</v>
      </c>
      <c r="AU80" s="52" t="s">
        <v>247</v>
      </c>
      <c r="AV80" s="53" t="str">
        <f t="shared" si="16"/>
        <v>SUBDIRECCIÓN DE BIENESTAR UNIVERSITARIO</v>
      </c>
      <c r="AW80" s="54" t="s">
        <v>248</v>
      </c>
      <c r="AX80" s="55" t="s">
        <v>249</v>
      </c>
      <c r="AY80" s="48" t="s">
        <v>244</v>
      </c>
      <c r="AZ80" s="48" t="s">
        <v>244</v>
      </c>
      <c r="BA80" s="56" t="s">
        <v>250</v>
      </c>
      <c r="BB80" s="57" t="s">
        <v>251</v>
      </c>
      <c r="BC80" s="57" t="s">
        <v>252</v>
      </c>
      <c r="BD80" s="57" t="s">
        <v>250</v>
      </c>
      <c r="BE80" s="57"/>
      <c r="BF80" s="57"/>
    </row>
    <row r="81" spans="1:58" ht="56.25" x14ac:dyDescent="0.2">
      <c r="A81" s="44" t="s">
        <v>318</v>
      </c>
      <c r="B81" s="45" t="s">
        <v>63</v>
      </c>
      <c r="C81" s="45" t="s">
        <v>25</v>
      </c>
      <c r="D81" s="45" t="s">
        <v>38</v>
      </c>
      <c r="E81" s="45" t="s">
        <v>84</v>
      </c>
      <c r="F81" s="45" t="s">
        <v>39</v>
      </c>
      <c r="G81" s="45" t="s">
        <v>75</v>
      </c>
      <c r="H81" s="45" t="s">
        <v>71</v>
      </c>
      <c r="I81" s="45">
        <v>3</v>
      </c>
      <c r="J81" s="166">
        <v>1712528.2124999999</v>
      </c>
      <c r="K81" s="172">
        <f t="shared" si="17"/>
        <v>8.0274173877296073E-2</v>
      </c>
      <c r="L81" s="166">
        <f>IF(H81="OTRO",(J81*1.05),VLOOKUP((I81&amp;H81),'ESCALAS Salarios'!$D$2:$F$30,3,0))</f>
        <v>1850000</v>
      </c>
      <c r="M81" s="45">
        <v>1</v>
      </c>
      <c r="N81" s="45" t="s">
        <v>485</v>
      </c>
      <c r="O81" s="59">
        <v>45335</v>
      </c>
      <c r="P81" s="58">
        <v>45449</v>
      </c>
      <c r="Q81" s="59">
        <f>VLOOKUP($A81,[6]Contratistas!$A$3:$R$117,10,0)</f>
        <v>45335</v>
      </c>
      <c r="R81" s="237">
        <f>VLOOKUP($A81,[6]Contratistas!$A$3:$R$117,11,0)</f>
        <v>45449</v>
      </c>
      <c r="S81" s="78">
        <f t="shared" si="18"/>
        <v>7030000</v>
      </c>
      <c r="T81" s="59">
        <v>45517</v>
      </c>
      <c r="U81" s="58">
        <v>45624</v>
      </c>
      <c r="V81" s="78">
        <f t="shared" si="19"/>
        <v>6598333.333333334</v>
      </c>
      <c r="W81" s="76">
        <f t="shared" si="20"/>
        <v>7</v>
      </c>
      <c r="X81" s="93">
        <f t="shared" si="21"/>
        <v>13628333.333333334</v>
      </c>
      <c r="Y81" s="93">
        <f t="shared" ref="Y81:Y95" si="30">6621775.755*2.075</f>
        <v>13740184.691625001</v>
      </c>
      <c r="Z81" s="171">
        <f t="shared" si="22"/>
        <v>-8.140455226911425E-3</v>
      </c>
      <c r="AA81" s="4">
        <v>1075669700</v>
      </c>
      <c r="AB81" s="136" t="s">
        <v>435</v>
      </c>
      <c r="AC81" s="80">
        <f t="shared" si="23"/>
        <v>13628333.333333334</v>
      </c>
      <c r="AD81" s="81" t="s">
        <v>243</v>
      </c>
      <c r="AE81" s="82" t="s">
        <v>15</v>
      </c>
      <c r="AF81" s="83" t="s">
        <v>361</v>
      </c>
      <c r="AG81" s="83"/>
      <c r="AH81" s="84" t="str">
        <f t="shared" si="27"/>
        <v>CON-071</v>
      </c>
      <c r="AI81" s="178">
        <v>80111600</v>
      </c>
      <c r="AJ81" s="177" t="s">
        <v>179</v>
      </c>
      <c r="AK81" s="47">
        <f t="shared" si="24"/>
        <v>45335</v>
      </c>
      <c r="AL81" s="47">
        <f t="shared" si="25"/>
        <v>45335</v>
      </c>
      <c r="AM81" s="233">
        <f t="shared" si="28"/>
        <v>7</v>
      </c>
      <c r="AN81" s="48" t="s">
        <v>241</v>
      </c>
      <c r="AO81" s="49" t="s">
        <v>242</v>
      </c>
      <c r="AP81" s="50">
        <f t="shared" si="29"/>
        <v>13628333.333333334</v>
      </c>
      <c r="AQ81" s="50">
        <f t="shared" si="26"/>
        <v>13628333.333333334</v>
      </c>
      <c r="AR81" s="48" t="s">
        <v>244</v>
      </c>
      <c r="AS81" s="48" t="s">
        <v>245</v>
      </c>
      <c r="AT81" s="51" t="s">
        <v>246</v>
      </c>
      <c r="AU81" s="52" t="s">
        <v>247</v>
      </c>
      <c r="AV81" s="53" t="str">
        <f t="shared" si="16"/>
        <v>SUBDIRECCIÓN DE BIENESTAR UNIVERSITARIO</v>
      </c>
      <c r="AW81" s="54" t="s">
        <v>248</v>
      </c>
      <c r="AX81" s="55" t="s">
        <v>249</v>
      </c>
      <c r="AY81" s="48" t="s">
        <v>244</v>
      </c>
      <c r="AZ81" s="48" t="s">
        <v>244</v>
      </c>
      <c r="BA81" s="56" t="s">
        <v>250</v>
      </c>
      <c r="BB81" s="57" t="s">
        <v>251</v>
      </c>
      <c r="BC81" s="57" t="s">
        <v>252</v>
      </c>
      <c r="BD81" s="57" t="s">
        <v>250</v>
      </c>
      <c r="BE81" s="57"/>
      <c r="BF81" s="57"/>
    </row>
    <row r="82" spans="1:58" ht="56.25" x14ac:dyDescent="0.2">
      <c r="A82" s="44" t="s">
        <v>319</v>
      </c>
      <c r="B82" s="45" t="s">
        <v>63</v>
      </c>
      <c r="C82" s="45" t="s">
        <v>25</v>
      </c>
      <c r="D82" s="45" t="s">
        <v>38</v>
      </c>
      <c r="E82" s="45" t="s">
        <v>84</v>
      </c>
      <c r="F82" s="45" t="s">
        <v>39</v>
      </c>
      <c r="G82" s="45" t="s">
        <v>75</v>
      </c>
      <c r="H82" s="45" t="s">
        <v>71</v>
      </c>
      <c r="I82" s="45">
        <v>3</v>
      </c>
      <c r="J82" s="166">
        <v>1712528.2124999999</v>
      </c>
      <c r="K82" s="172">
        <f t="shared" si="17"/>
        <v>8.0274173877296073E-2</v>
      </c>
      <c r="L82" s="166">
        <f>IF(H82="OTRO",(J82*1.05),VLOOKUP((I82&amp;H82),'ESCALAS Salarios'!$D$2:$F$30,3,0))</f>
        <v>1850000</v>
      </c>
      <c r="M82" s="45">
        <v>1</v>
      </c>
      <c r="N82" s="45" t="s">
        <v>485</v>
      </c>
      <c r="O82" s="59">
        <v>45335</v>
      </c>
      <c r="P82" s="58">
        <v>45449</v>
      </c>
      <c r="Q82" s="59">
        <f>VLOOKUP($A82,[6]Contratistas!$A$3:$R$117,10,0)</f>
        <v>45335</v>
      </c>
      <c r="R82" s="237">
        <f>VLOOKUP($A82,[6]Contratistas!$A$3:$R$117,11,0)</f>
        <v>45449</v>
      </c>
      <c r="S82" s="78">
        <f t="shared" si="18"/>
        <v>7030000</v>
      </c>
      <c r="T82" s="59">
        <v>45517</v>
      </c>
      <c r="U82" s="58">
        <v>45624</v>
      </c>
      <c r="V82" s="78">
        <f t="shared" si="19"/>
        <v>6598333.333333334</v>
      </c>
      <c r="W82" s="76">
        <f t="shared" si="20"/>
        <v>7</v>
      </c>
      <c r="X82" s="93">
        <f t="shared" si="21"/>
        <v>13628333.333333334</v>
      </c>
      <c r="Y82" s="93">
        <f t="shared" si="30"/>
        <v>13740184.691625001</v>
      </c>
      <c r="Z82" s="171">
        <f t="shared" si="22"/>
        <v>-8.140455226911425E-3</v>
      </c>
      <c r="AA82" s="4">
        <v>80747625</v>
      </c>
      <c r="AB82" s="136" t="s">
        <v>436</v>
      </c>
      <c r="AC82" s="80">
        <f t="shared" si="23"/>
        <v>13628333.333333334</v>
      </c>
      <c r="AD82" s="81" t="s">
        <v>243</v>
      </c>
      <c r="AE82" s="82" t="s">
        <v>15</v>
      </c>
      <c r="AF82" s="83" t="s">
        <v>361</v>
      </c>
      <c r="AG82" s="83"/>
      <c r="AH82" s="84" t="str">
        <f t="shared" si="27"/>
        <v>CON-072</v>
      </c>
      <c r="AI82" s="178">
        <v>80111600</v>
      </c>
      <c r="AJ82" s="177" t="s">
        <v>180</v>
      </c>
      <c r="AK82" s="47">
        <f t="shared" si="24"/>
        <v>45335</v>
      </c>
      <c r="AL82" s="47">
        <f t="shared" si="25"/>
        <v>45335</v>
      </c>
      <c r="AM82" s="233">
        <f t="shared" si="28"/>
        <v>7</v>
      </c>
      <c r="AN82" s="48" t="s">
        <v>241</v>
      </c>
      <c r="AO82" s="49" t="s">
        <v>242</v>
      </c>
      <c r="AP82" s="50">
        <f t="shared" si="29"/>
        <v>13628333.333333334</v>
      </c>
      <c r="AQ82" s="50">
        <f t="shared" si="26"/>
        <v>13628333.333333334</v>
      </c>
      <c r="AR82" s="48" t="s">
        <v>244</v>
      </c>
      <c r="AS82" s="48" t="s">
        <v>245</v>
      </c>
      <c r="AT82" s="51" t="s">
        <v>246</v>
      </c>
      <c r="AU82" s="52" t="s">
        <v>247</v>
      </c>
      <c r="AV82" s="53" t="str">
        <f t="shared" si="16"/>
        <v>SUBDIRECCIÓN DE BIENESTAR UNIVERSITARIO</v>
      </c>
      <c r="AW82" s="54" t="s">
        <v>248</v>
      </c>
      <c r="AX82" s="55" t="s">
        <v>249</v>
      </c>
      <c r="AY82" s="48" t="s">
        <v>244</v>
      </c>
      <c r="AZ82" s="48" t="s">
        <v>244</v>
      </c>
      <c r="BA82" s="56" t="s">
        <v>250</v>
      </c>
      <c r="BB82" s="57" t="s">
        <v>251</v>
      </c>
      <c r="BC82" s="57" t="s">
        <v>252</v>
      </c>
      <c r="BD82" s="57" t="s">
        <v>250</v>
      </c>
      <c r="BE82" s="57"/>
      <c r="BF82" s="57"/>
    </row>
    <row r="83" spans="1:58" ht="56.25" x14ac:dyDescent="0.2">
      <c r="A83" s="44" t="s">
        <v>320</v>
      </c>
      <c r="B83" s="45" t="s">
        <v>63</v>
      </c>
      <c r="C83" s="45" t="s">
        <v>25</v>
      </c>
      <c r="D83" s="45" t="s">
        <v>38</v>
      </c>
      <c r="E83" s="45" t="s">
        <v>84</v>
      </c>
      <c r="F83" s="45" t="s">
        <v>39</v>
      </c>
      <c r="G83" s="45" t="s">
        <v>75</v>
      </c>
      <c r="H83" s="45" t="s">
        <v>71</v>
      </c>
      <c r="I83" s="45">
        <v>3</v>
      </c>
      <c r="J83" s="166">
        <v>1712528.2124999999</v>
      </c>
      <c r="K83" s="172">
        <f t="shared" si="17"/>
        <v>8.0274173877296073E-2</v>
      </c>
      <c r="L83" s="166">
        <f>IF(H83="OTRO",(J83*1.05),VLOOKUP((I83&amp;H83),'ESCALAS Salarios'!$D$2:$F$30,3,0))</f>
        <v>1850000</v>
      </c>
      <c r="M83" s="45">
        <v>1</v>
      </c>
      <c r="N83" s="45" t="s">
        <v>485</v>
      </c>
      <c r="O83" s="59">
        <v>45335</v>
      </c>
      <c r="P83" s="58">
        <v>45449</v>
      </c>
      <c r="Q83" s="59">
        <f>VLOOKUP($A83,[6]Contratistas!$A$3:$R$117,10,0)</f>
        <v>45335</v>
      </c>
      <c r="R83" s="237">
        <f>VLOOKUP($A83,[6]Contratistas!$A$3:$R$117,11,0)</f>
        <v>45449</v>
      </c>
      <c r="S83" s="78">
        <f t="shared" si="18"/>
        <v>7030000</v>
      </c>
      <c r="T83" s="59">
        <v>45517</v>
      </c>
      <c r="U83" s="58">
        <v>45624</v>
      </c>
      <c r="V83" s="78">
        <f t="shared" si="19"/>
        <v>6598333.333333334</v>
      </c>
      <c r="W83" s="76">
        <f t="shared" si="20"/>
        <v>7</v>
      </c>
      <c r="X83" s="93">
        <f t="shared" si="21"/>
        <v>13628333.333333334</v>
      </c>
      <c r="Y83" s="93">
        <f t="shared" si="30"/>
        <v>13740184.691625001</v>
      </c>
      <c r="Z83" s="171">
        <f t="shared" si="22"/>
        <v>-8.140455226911425E-3</v>
      </c>
      <c r="AA83" s="4">
        <v>1031125970</v>
      </c>
      <c r="AB83" s="136" t="s">
        <v>437</v>
      </c>
      <c r="AC83" s="80">
        <f t="shared" si="23"/>
        <v>13628333.333333334</v>
      </c>
      <c r="AD83" s="81" t="s">
        <v>243</v>
      </c>
      <c r="AE83" s="82" t="s">
        <v>15</v>
      </c>
      <c r="AF83" s="83" t="s">
        <v>361</v>
      </c>
      <c r="AG83" s="83"/>
      <c r="AH83" s="84" t="str">
        <f t="shared" si="27"/>
        <v>CON-073</v>
      </c>
      <c r="AI83" s="178">
        <v>80111600</v>
      </c>
      <c r="AJ83" s="177" t="s">
        <v>181</v>
      </c>
      <c r="AK83" s="47">
        <f t="shared" si="24"/>
        <v>45335</v>
      </c>
      <c r="AL83" s="47">
        <f t="shared" si="25"/>
        <v>45335</v>
      </c>
      <c r="AM83" s="233">
        <f t="shared" si="28"/>
        <v>7</v>
      </c>
      <c r="AN83" s="48" t="s">
        <v>241</v>
      </c>
      <c r="AO83" s="49" t="s">
        <v>242</v>
      </c>
      <c r="AP83" s="50">
        <f t="shared" si="29"/>
        <v>13628333.333333334</v>
      </c>
      <c r="AQ83" s="50">
        <f t="shared" si="26"/>
        <v>13628333.333333334</v>
      </c>
      <c r="AR83" s="48" t="s">
        <v>244</v>
      </c>
      <c r="AS83" s="48" t="s">
        <v>245</v>
      </c>
      <c r="AT83" s="51" t="s">
        <v>246</v>
      </c>
      <c r="AU83" s="52" t="s">
        <v>247</v>
      </c>
      <c r="AV83" s="53" t="str">
        <f t="shared" si="16"/>
        <v>SUBDIRECCIÓN DE BIENESTAR UNIVERSITARIO</v>
      </c>
      <c r="AW83" s="54" t="s">
        <v>248</v>
      </c>
      <c r="AX83" s="55" t="s">
        <v>249</v>
      </c>
      <c r="AY83" s="48" t="s">
        <v>244</v>
      </c>
      <c r="AZ83" s="48" t="s">
        <v>244</v>
      </c>
      <c r="BA83" s="56" t="s">
        <v>250</v>
      </c>
      <c r="BB83" s="57" t="s">
        <v>251</v>
      </c>
      <c r="BC83" s="57" t="s">
        <v>252</v>
      </c>
      <c r="BD83" s="57" t="s">
        <v>250</v>
      </c>
      <c r="BE83" s="57"/>
      <c r="BF83" s="57"/>
    </row>
    <row r="84" spans="1:58" ht="56.25" x14ac:dyDescent="0.2">
      <c r="A84" s="44" t="s">
        <v>321</v>
      </c>
      <c r="B84" s="45" t="s">
        <v>63</v>
      </c>
      <c r="C84" s="45" t="s">
        <v>25</v>
      </c>
      <c r="D84" s="45" t="s">
        <v>38</v>
      </c>
      <c r="E84" s="45" t="s">
        <v>84</v>
      </c>
      <c r="F84" s="45" t="s">
        <v>39</v>
      </c>
      <c r="G84" s="45" t="s">
        <v>75</v>
      </c>
      <c r="H84" s="45" t="s">
        <v>71</v>
      </c>
      <c r="I84" s="45">
        <v>3</v>
      </c>
      <c r="J84" s="166">
        <v>1712528.2124999999</v>
      </c>
      <c r="K84" s="172">
        <f t="shared" si="17"/>
        <v>8.0274173877296073E-2</v>
      </c>
      <c r="L84" s="166">
        <f>IF(H84="OTRO",(J84*1.05),VLOOKUP((I84&amp;H84),'ESCALAS Salarios'!$D$2:$F$30,3,0))</f>
        <v>1850000</v>
      </c>
      <c r="M84" s="45">
        <v>1</v>
      </c>
      <c r="N84" s="45" t="s">
        <v>485</v>
      </c>
      <c r="O84" s="59">
        <v>45335</v>
      </c>
      <c r="P84" s="58">
        <v>45449</v>
      </c>
      <c r="Q84" s="59">
        <f>VLOOKUP($A84,[6]Contratistas!$A$3:$R$117,10,0)</f>
        <v>45335</v>
      </c>
      <c r="R84" s="237">
        <f>VLOOKUP($A84,[6]Contratistas!$A$3:$R$117,11,0)</f>
        <v>45449</v>
      </c>
      <c r="S84" s="78">
        <f t="shared" si="18"/>
        <v>7030000</v>
      </c>
      <c r="T84" s="59">
        <v>45517</v>
      </c>
      <c r="U84" s="58">
        <v>45624</v>
      </c>
      <c r="V84" s="78">
        <f t="shared" si="19"/>
        <v>6598333.333333334</v>
      </c>
      <c r="W84" s="76">
        <f t="shared" si="20"/>
        <v>7</v>
      </c>
      <c r="X84" s="93">
        <f t="shared" si="21"/>
        <v>13628333.333333334</v>
      </c>
      <c r="Y84" s="93">
        <f t="shared" si="30"/>
        <v>13740184.691625001</v>
      </c>
      <c r="Z84" s="171">
        <f t="shared" si="22"/>
        <v>-8.140455226911425E-3</v>
      </c>
      <c r="AA84" s="4">
        <v>79922642</v>
      </c>
      <c r="AB84" s="136" t="s">
        <v>438</v>
      </c>
      <c r="AC84" s="80">
        <f t="shared" si="23"/>
        <v>13628333.333333334</v>
      </c>
      <c r="AD84" s="81" t="s">
        <v>243</v>
      </c>
      <c r="AE84" s="82" t="s">
        <v>15</v>
      </c>
      <c r="AF84" s="83" t="s">
        <v>361</v>
      </c>
      <c r="AG84" s="83"/>
      <c r="AH84" s="84" t="str">
        <f t="shared" si="27"/>
        <v>CON-074</v>
      </c>
      <c r="AI84" s="178">
        <v>80111600</v>
      </c>
      <c r="AJ84" s="177" t="s">
        <v>182</v>
      </c>
      <c r="AK84" s="47">
        <f t="shared" si="24"/>
        <v>45335</v>
      </c>
      <c r="AL84" s="47">
        <f t="shared" si="25"/>
        <v>45335</v>
      </c>
      <c r="AM84" s="233">
        <f t="shared" si="28"/>
        <v>7</v>
      </c>
      <c r="AN84" s="48" t="s">
        <v>241</v>
      </c>
      <c r="AO84" s="49" t="s">
        <v>242</v>
      </c>
      <c r="AP84" s="50">
        <f t="shared" si="29"/>
        <v>13628333.333333334</v>
      </c>
      <c r="AQ84" s="50">
        <f t="shared" si="26"/>
        <v>13628333.333333334</v>
      </c>
      <c r="AR84" s="48" t="s">
        <v>244</v>
      </c>
      <c r="AS84" s="48" t="s">
        <v>245</v>
      </c>
      <c r="AT84" s="51" t="s">
        <v>246</v>
      </c>
      <c r="AU84" s="52" t="s">
        <v>247</v>
      </c>
      <c r="AV84" s="53" t="str">
        <f t="shared" si="16"/>
        <v>SUBDIRECCIÓN DE BIENESTAR UNIVERSITARIO</v>
      </c>
      <c r="AW84" s="54" t="s">
        <v>248</v>
      </c>
      <c r="AX84" s="55" t="s">
        <v>249</v>
      </c>
      <c r="AY84" s="48" t="s">
        <v>244</v>
      </c>
      <c r="AZ84" s="48" t="s">
        <v>244</v>
      </c>
      <c r="BA84" s="56" t="s">
        <v>250</v>
      </c>
      <c r="BB84" s="57" t="s">
        <v>251</v>
      </c>
      <c r="BC84" s="57" t="s">
        <v>252</v>
      </c>
      <c r="BD84" s="57" t="s">
        <v>250</v>
      </c>
      <c r="BE84" s="57"/>
      <c r="BF84" s="57"/>
    </row>
    <row r="85" spans="1:58" ht="56.25" x14ac:dyDescent="0.2">
      <c r="A85" s="44" t="s">
        <v>322</v>
      </c>
      <c r="B85" s="45" t="s">
        <v>63</v>
      </c>
      <c r="C85" s="45" t="s">
        <v>25</v>
      </c>
      <c r="D85" s="45" t="s">
        <v>38</v>
      </c>
      <c r="E85" s="45" t="s">
        <v>84</v>
      </c>
      <c r="F85" s="45" t="s">
        <v>39</v>
      </c>
      <c r="G85" s="45" t="s">
        <v>75</v>
      </c>
      <c r="H85" s="45" t="s">
        <v>71</v>
      </c>
      <c r="I85" s="45">
        <v>3</v>
      </c>
      <c r="J85" s="166">
        <v>1712528.2124999999</v>
      </c>
      <c r="K85" s="172">
        <f t="shared" si="17"/>
        <v>8.0274173877296073E-2</v>
      </c>
      <c r="L85" s="166">
        <f>IF(H85="OTRO",(J85*1.05),VLOOKUP((I85&amp;H85),'ESCALAS Salarios'!$D$2:$F$30,3,0))</f>
        <v>1850000</v>
      </c>
      <c r="M85" s="45">
        <v>1</v>
      </c>
      <c r="N85" s="45" t="s">
        <v>485</v>
      </c>
      <c r="O85" s="59">
        <v>45335</v>
      </c>
      <c r="P85" s="58">
        <v>45449</v>
      </c>
      <c r="Q85" s="59">
        <f>VLOOKUP($A85,[6]Contratistas!$A$3:$R$117,10,0)</f>
        <v>45335</v>
      </c>
      <c r="R85" s="237">
        <f>VLOOKUP($A85,[6]Contratistas!$A$3:$R$117,11,0)</f>
        <v>45449</v>
      </c>
      <c r="S85" s="78">
        <f t="shared" si="18"/>
        <v>7030000</v>
      </c>
      <c r="T85" s="59">
        <v>45517</v>
      </c>
      <c r="U85" s="58">
        <v>45624</v>
      </c>
      <c r="V85" s="78">
        <f t="shared" si="19"/>
        <v>6598333.333333334</v>
      </c>
      <c r="W85" s="76">
        <f t="shared" si="20"/>
        <v>7</v>
      </c>
      <c r="X85" s="93">
        <f t="shared" si="21"/>
        <v>13628333.333333334</v>
      </c>
      <c r="Y85" s="93">
        <f t="shared" si="30"/>
        <v>13740184.691625001</v>
      </c>
      <c r="Z85" s="171">
        <f t="shared" si="22"/>
        <v>-8.140455226911425E-3</v>
      </c>
      <c r="AA85" s="4">
        <v>79650621</v>
      </c>
      <c r="AB85" s="136" t="s">
        <v>439</v>
      </c>
      <c r="AC85" s="80">
        <f t="shared" si="23"/>
        <v>13628333.333333334</v>
      </c>
      <c r="AD85" s="81" t="s">
        <v>243</v>
      </c>
      <c r="AE85" s="82" t="s">
        <v>15</v>
      </c>
      <c r="AF85" s="83" t="s">
        <v>361</v>
      </c>
      <c r="AG85" s="83"/>
      <c r="AH85" s="84" t="str">
        <f t="shared" si="27"/>
        <v>CON-075</v>
      </c>
      <c r="AI85" s="178">
        <v>80111600</v>
      </c>
      <c r="AJ85" s="177" t="s">
        <v>183</v>
      </c>
      <c r="AK85" s="47">
        <f t="shared" si="24"/>
        <v>45335</v>
      </c>
      <c r="AL85" s="47">
        <f t="shared" si="25"/>
        <v>45335</v>
      </c>
      <c r="AM85" s="233">
        <f t="shared" si="28"/>
        <v>7</v>
      </c>
      <c r="AN85" s="48" t="s">
        <v>241</v>
      </c>
      <c r="AO85" s="49" t="s">
        <v>242</v>
      </c>
      <c r="AP85" s="50">
        <f t="shared" si="29"/>
        <v>13628333.333333334</v>
      </c>
      <c r="AQ85" s="50">
        <f t="shared" si="26"/>
        <v>13628333.333333334</v>
      </c>
      <c r="AR85" s="48" t="s">
        <v>244</v>
      </c>
      <c r="AS85" s="48" t="s">
        <v>245</v>
      </c>
      <c r="AT85" s="51" t="s">
        <v>246</v>
      </c>
      <c r="AU85" s="52" t="s">
        <v>247</v>
      </c>
      <c r="AV85" s="53" t="str">
        <f t="shared" si="16"/>
        <v>SUBDIRECCIÓN DE BIENESTAR UNIVERSITARIO</v>
      </c>
      <c r="AW85" s="54" t="s">
        <v>248</v>
      </c>
      <c r="AX85" s="55" t="s">
        <v>249</v>
      </c>
      <c r="AY85" s="48" t="s">
        <v>244</v>
      </c>
      <c r="AZ85" s="48" t="s">
        <v>244</v>
      </c>
      <c r="BA85" s="56" t="s">
        <v>250</v>
      </c>
      <c r="BB85" s="57" t="s">
        <v>251</v>
      </c>
      <c r="BC85" s="57" t="s">
        <v>252</v>
      </c>
      <c r="BD85" s="57" t="s">
        <v>250</v>
      </c>
      <c r="BE85" s="57"/>
      <c r="BF85" s="57"/>
    </row>
    <row r="86" spans="1:58" ht="56.25" x14ac:dyDescent="0.2">
      <c r="A86" s="44" t="s">
        <v>323</v>
      </c>
      <c r="B86" s="45" t="s">
        <v>63</v>
      </c>
      <c r="C86" s="45" t="s">
        <v>25</v>
      </c>
      <c r="D86" s="45" t="s">
        <v>38</v>
      </c>
      <c r="E86" s="45" t="s">
        <v>84</v>
      </c>
      <c r="F86" s="45" t="s">
        <v>39</v>
      </c>
      <c r="G86" s="45" t="s">
        <v>75</v>
      </c>
      <c r="H86" s="45" t="s">
        <v>71</v>
      </c>
      <c r="I86" s="45">
        <v>3</v>
      </c>
      <c r="J86" s="166">
        <v>1712528.2124999999</v>
      </c>
      <c r="K86" s="172">
        <f t="shared" si="17"/>
        <v>8.0274173877296073E-2</v>
      </c>
      <c r="L86" s="166">
        <f>IF(H86="OTRO",(J86*1.05),VLOOKUP((I86&amp;H86),'ESCALAS Salarios'!$D$2:$F$30,3,0))</f>
        <v>1850000</v>
      </c>
      <c r="M86" s="45">
        <v>1</v>
      </c>
      <c r="N86" s="45" t="s">
        <v>485</v>
      </c>
      <c r="O86" s="59">
        <v>45335</v>
      </c>
      <c r="P86" s="58">
        <v>45449</v>
      </c>
      <c r="Q86" s="59">
        <f>VLOOKUP($A86,[6]Contratistas!$A$3:$R$117,10,0)</f>
        <v>45335</v>
      </c>
      <c r="R86" s="237">
        <f>VLOOKUP($A86,[6]Contratistas!$A$3:$R$117,11,0)</f>
        <v>45449</v>
      </c>
      <c r="S86" s="78">
        <f t="shared" si="18"/>
        <v>7030000</v>
      </c>
      <c r="T86" s="59">
        <v>45517</v>
      </c>
      <c r="U86" s="58">
        <v>45624</v>
      </c>
      <c r="V86" s="78">
        <f t="shared" si="19"/>
        <v>6598333.333333334</v>
      </c>
      <c r="W86" s="76">
        <f t="shared" si="20"/>
        <v>7</v>
      </c>
      <c r="X86" s="93">
        <f t="shared" si="21"/>
        <v>13628333.333333334</v>
      </c>
      <c r="Y86" s="93">
        <f t="shared" si="30"/>
        <v>13740184.691625001</v>
      </c>
      <c r="Z86" s="171">
        <f t="shared" si="22"/>
        <v>-8.140455226911425E-3</v>
      </c>
      <c r="AA86" s="4">
        <v>79624088</v>
      </c>
      <c r="AB86" s="136" t="s">
        <v>440</v>
      </c>
      <c r="AC86" s="80">
        <f t="shared" si="23"/>
        <v>13628333.333333334</v>
      </c>
      <c r="AD86" s="81" t="s">
        <v>243</v>
      </c>
      <c r="AE86" s="82" t="s">
        <v>15</v>
      </c>
      <c r="AF86" s="83" t="s">
        <v>361</v>
      </c>
      <c r="AG86" s="83"/>
      <c r="AH86" s="84" t="str">
        <f t="shared" si="27"/>
        <v>CON-076</v>
      </c>
      <c r="AI86" s="178">
        <v>80111600</v>
      </c>
      <c r="AJ86" s="177" t="s">
        <v>184</v>
      </c>
      <c r="AK86" s="47">
        <f t="shared" si="24"/>
        <v>45335</v>
      </c>
      <c r="AL86" s="47">
        <f t="shared" si="25"/>
        <v>45335</v>
      </c>
      <c r="AM86" s="233">
        <f t="shared" si="28"/>
        <v>7</v>
      </c>
      <c r="AN86" s="48" t="s">
        <v>241</v>
      </c>
      <c r="AO86" s="49" t="s">
        <v>242</v>
      </c>
      <c r="AP86" s="50">
        <f t="shared" si="29"/>
        <v>13628333.333333334</v>
      </c>
      <c r="AQ86" s="50">
        <f t="shared" si="26"/>
        <v>13628333.333333334</v>
      </c>
      <c r="AR86" s="48" t="s">
        <v>244</v>
      </c>
      <c r="AS86" s="48" t="s">
        <v>245</v>
      </c>
      <c r="AT86" s="51" t="s">
        <v>246</v>
      </c>
      <c r="AU86" s="52" t="s">
        <v>247</v>
      </c>
      <c r="AV86" s="53" t="str">
        <f t="shared" si="16"/>
        <v>SUBDIRECCIÓN DE BIENESTAR UNIVERSITARIO</v>
      </c>
      <c r="AW86" s="54" t="s">
        <v>248</v>
      </c>
      <c r="AX86" s="55" t="s">
        <v>249</v>
      </c>
      <c r="AY86" s="48" t="s">
        <v>244</v>
      </c>
      <c r="AZ86" s="48" t="s">
        <v>244</v>
      </c>
      <c r="BA86" s="56" t="s">
        <v>250</v>
      </c>
      <c r="BB86" s="57" t="s">
        <v>251</v>
      </c>
      <c r="BC86" s="57" t="s">
        <v>252</v>
      </c>
      <c r="BD86" s="57" t="s">
        <v>250</v>
      </c>
      <c r="BE86" s="57"/>
      <c r="BF86" s="57"/>
    </row>
    <row r="87" spans="1:58" ht="56.25" x14ac:dyDescent="0.2">
      <c r="A87" s="44" t="s">
        <v>632</v>
      </c>
      <c r="B87" s="45" t="s">
        <v>63</v>
      </c>
      <c r="C87" s="45" t="s">
        <v>25</v>
      </c>
      <c r="D87" s="45" t="s">
        <v>38</v>
      </c>
      <c r="E87" s="45" t="s">
        <v>84</v>
      </c>
      <c r="F87" s="45" t="s">
        <v>39</v>
      </c>
      <c r="G87" s="45" t="s">
        <v>75</v>
      </c>
      <c r="H87" s="45" t="s">
        <v>71</v>
      </c>
      <c r="I87" s="45">
        <v>3</v>
      </c>
      <c r="J87" s="166">
        <v>1712528.2124999999</v>
      </c>
      <c r="K87" s="172">
        <f t="shared" si="17"/>
        <v>8.0274173877296073E-2</v>
      </c>
      <c r="L87" s="166">
        <f>IF(H87="OTRO",(J87*1.05),VLOOKUP((I87&amp;H87),'ESCALAS Salarios'!$D$2:$F$30,3,0))</f>
        <v>1850000</v>
      </c>
      <c r="M87" s="45">
        <v>1</v>
      </c>
      <c r="N87" s="45" t="s">
        <v>485</v>
      </c>
      <c r="O87" s="59">
        <v>45335</v>
      </c>
      <c r="P87" s="58">
        <v>45449</v>
      </c>
      <c r="Q87" s="59">
        <f>VLOOKUP($A87,[6]Contratistas!$A$3:$R$117,10,0)</f>
        <v>45335</v>
      </c>
      <c r="R87" s="237">
        <f>VLOOKUP($A87,[6]Contratistas!$A$3:$R$117,11,0)</f>
        <v>45449</v>
      </c>
      <c r="S87" s="78">
        <f t="shared" si="18"/>
        <v>7030000</v>
      </c>
      <c r="T87" s="59">
        <v>45517</v>
      </c>
      <c r="U87" s="58">
        <v>45624</v>
      </c>
      <c r="V87" s="78">
        <f t="shared" si="19"/>
        <v>6598333.333333334</v>
      </c>
      <c r="W87" s="76">
        <f t="shared" si="20"/>
        <v>7</v>
      </c>
      <c r="X87" s="93">
        <f t="shared" si="21"/>
        <v>13628333.333333334</v>
      </c>
      <c r="Y87" s="93">
        <f t="shared" si="30"/>
        <v>13740184.691625001</v>
      </c>
      <c r="Z87" s="171">
        <f t="shared" si="22"/>
        <v>-8.140455226911425E-3</v>
      </c>
      <c r="AA87" s="4">
        <v>1073154394</v>
      </c>
      <c r="AB87" s="136" t="s">
        <v>441</v>
      </c>
      <c r="AC87" s="80">
        <f t="shared" si="23"/>
        <v>13628333.333333334</v>
      </c>
      <c r="AD87" s="81" t="s">
        <v>243</v>
      </c>
      <c r="AE87" s="82" t="s">
        <v>15</v>
      </c>
      <c r="AF87" s="83" t="s">
        <v>361</v>
      </c>
      <c r="AG87" s="83"/>
      <c r="AH87" s="84" t="str">
        <f t="shared" si="27"/>
        <v>CON-077</v>
      </c>
      <c r="AI87" s="178">
        <v>80111600</v>
      </c>
      <c r="AJ87" s="177" t="s">
        <v>185</v>
      </c>
      <c r="AK87" s="47">
        <f t="shared" si="24"/>
        <v>45335</v>
      </c>
      <c r="AL87" s="47">
        <f t="shared" si="25"/>
        <v>45335</v>
      </c>
      <c r="AM87" s="233">
        <f t="shared" si="28"/>
        <v>7</v>
      </c>
      <c r="AN87" s="48" t="s">
        <v>241</v>
      </c>
      <c r="AO87" s="49" t="s">
        <v>242</v>
      </c>
      <c r="AP87" s="50">
        <f t="shared" si="29"/>
        <v>13628333.333333334</v>
      </c>
      <c r="AQ87" s="50">
        <f t="shared" si="26"/>
        <v>13628333.333333334</v>
      </c>
      <c r="AR87" s="48" t="s">
        <v>244</v>
      </c>
      <c r="AS87" s="48" t="s">
        <v>245</v>
      </c>
      <c r="AT87" s="51" t="s">
        <v>246</v>
      </c>
      <c r="AU87" s="52" t="s">
        <v>247</v>
      </c>
      <c r="AV87" s="53" t="str">
        <f t="shared" si="16"/>
        <v>SUBDIRECCIÓN DE BIENESTAR UNIVERSITARIO</v>
      </c>
      <c r="AW87" s="54" t="s">
        <v>248</v>
      </c>
      <c r="AX87" s="55" t="s">
        <v>249</v>
      </c>
      <c r="AY87" s="48" t="s">
        <v>244</v>
      </c>
      <c r="AZ87" s="48" t="s">
        <v>244</v>
      </c>
      <c r="BA87" s="56" t="s">
        <v>250</v>
      </c>
      <c r="BB87" s="57" t="s">
        <v>251</v>
      </c>
      <c r="BC87" s="57" t="s">
        <v>252</v>
      </c>
      <c r="BD87" s="57" t="s">
        <v>250</v>
      </c>
      <c r="BE87" s="57"/>
      <c r="BF87" s="57"/>
    </row>
    <row r="88" spans="1:58" ht="67.5" x14ac:dyDescent="0.2">
      <c r="A88" s="44" t="s">
        <v>324</v>
      </c>
      <c r="B88" s="45" t="s">
        <v>63</v>
      </c>
      <c r="C88" s="45" t="s">
        <v>25</v>
      </c>
      <c r="D88" s="45" t="s">
        <v>38</v>
      </c>
      <c r="E88" s="45" t="s">
        <v>84</v>
      </c>
      <c r="F88" s="45" t="s">
        <v>39</v>
      </c>
      <c r="G88" s="45" t="s">
        <v>75</v>
      </c>
      <c r="H88" s="45" t="s">
        <v>69</v>
      </c>
      <c r="I88" s="45">
        <v>3</v>
      </c>
      <c r="J88" s="166">
        <v>3425056.4249999998</v>
      </c>
      <c r="K88" s="172">
        <f t="shared" si="17"/>
        <v>5.1077574583315188E-2</v>
      </c>
      <c r="L88" s="166">
        <f>IF(H88="OTRO",(J88*1.05),VLOOKUP((I88&amp;H88),'ESCALAS Salarios'!$D$2:$F$30,3,0))</f>
        <v>3600000</v>
      </c>
      <c r="M88" s="45">
        <v>1</v>
      </c>
      <c r="N88" s="45" t="s">
        <v>485</v>
      </c>
      <c r="O88" s="59">
        <v>45335</v>
      </c>
      <c r="P88" s="58">
        <v>45449</v>
      </c>
      <c r="Q88" s="59">
        <f>VLOOKUP($A88,[6]Contratistas!$A$3:$R$117,10,0)</f>
        <v>45335</v>
      </c>
      <c r="R88" s="237">
        <f>VLOOKUP($A88,[6]Contratistas!$A$3:$R$117,11,0)</f>
        <v>45449</v>
      </c>
      <c r="S88" s="78">
        <f t="shared" si="18"/>
        <v>13680000</v>
      </c>
      <c r="T88" s="59">
        <v>45517</v>
      </c>
      <c r="U88" s="58">
        <v>45624</v>
      </c>
      <c r="V88" s="78">
        <f t="shared" si="19"/>
        <v>12840000</v>
      </c>
      <c r="W88" s="76">
        <f t="shared" si="20"/>
        <v>7</v>
      </c>
      <c r="X88" s="93">
        <f t="shared" si="21"/>
        <v>26520000</v>
      </c>
      <c r="Y88" s="93">
        <f>13243551.51*2.075</f>
        <v>27480369.383250002</v>
      </c>
      <c r="Z88" s="171">
        <f t="shared" si="22"/>
        <v>-3.4947469950508459E-2</v>
      </c>
      <c r="AA88" s="4">
        <v>79449428</v>
      </c>
      <c r="AB88" s="136" t="s">
        <v>442</v>
      </c>
      <c r="AC88" s="80">
        <f t="shared" si="23"/>
        <v>26520000</v>
      </c>
      <c r="AD88" s="81" t="s">
        <v>243</v>
      </c>
      <c r="AE88" s="82" t="s">
        <v>15</v>
      </c>
      <c r="AF88" s="83" t="s">
        <v>361</v>
      </c>
      <c r="AG88" s="83"/>
      <c r="AH88" s="84" t="str">
        <f t="shared" si="27"/>
        <v>CON-078</v>
      </c>
      <c r="AI88" s="178">
        <v>80111600</v>
      </c>
      <c r="AJ88" s="177" t="s">
        <v>186</v>
      </c>
      <c r="AK88" s="47">
        <f t="shared" si="24"/>
        <v>45335</v>
      </c>
      <c r="AL88" s="47">
        <f t="shared" si="25"/>
        <v>45335</v>
      </c>
      <c r="AM88" s="233">
        <f t="shared" si="28"/>
        <v>7</v>
      </c>
      <c r="AN88" s="48" t="s">
        <v>241</v>
      </c>
      <c r="AO88" s="49" t="s">
        <v>242</v>
      </c>
      <c r="AP88" s="50">
        <f t="shared" si="29"/>
        <v>26520000</v>
      </c>
      <c r="AQ88" s="50">
        <f t="shared" si="26"/>
        <v>26520000</v>
      </c>
      <c r="AR88" s="48" t="s">
        <v>244</v>
      </c>
      <c r="AS88" s="48" t="s">
        <v>245</v>
      </c>
      <c r="AT88" s="51" t="s">
        <v>246</v>
      </c>
      <c r="AU88" s="52" t="s">
        <v>247</v>
      </c>
      <c r="AV88" s="53" t="str">
        <f t="shared" si="16"/>
        <v>SUBDIRECCIÓN DE BIENESTAR UNIVERSITARIO</v>
      </c>
      <c r="AW88" s="54" t="s">
        <v>248</v>
      </c>
      <c r="AX88" s="55" t="s">
        <v>249</v>
      </c>
      <c r="AY88" s="48" t="s">
        <v>244</v>
      </c>
      <c r="AZ88" s="48" t="s">
        <v>244</v>
      </c>
      <c r="BA88" s="56" t="s">
        <v>250</v>
      </c>
      <c r="BB88" s="57" t="s">
        <v>251</v>
      </c>
      <c r="BC88" s="57" t="s">
        <v>252</v>
      </c>
      <c r="BD88" s="57" t="s">
        <v>250</v>
      </c>
      <c r="BE88" s="57"/>
      <c r="BF88" s="57"/>
    </row>
    <row r="89" spans="1:58" ht="45" x14ac:dyDescent="0.2">
      <c r="A89" s="44" t="s">
        <v>325</v>
      </c>
      <c r="B89" s="45" t="s">
        <v>63</v>
      </c>
      <c r="C89" s="45" t="s">
        <v>25</v>
      </c>
      <c r="D89" s="45" t="s">
        <v>38</v>
      </c>
      <c r="E89" s="45" t="s">
        <v>85</v>
      </c>
      <c r="F89" s="45" t="s">
        <v>40</v>
      </c>
      <c r="G89" s="45" t="s">
        <v>75</v>
      </c>
      <c r="H89" s="45" t="s">
        <v>71</v>
      </c>
      <c r="I89" s="45">
        <v>3</v>
      </c>
      <c r="J89" s="166">
        <v>1712528.2124999999</v>
      </c>
      <c r="K89" s="172">
        <f t="shared" si="17"/>
        <v>8.0274173877296073E-2</v>
      </c>
      <c r="L89" s="166">
        <f>IF(H89="OTRO",(J89*1.05),VLOOKUP((I89&amp;H89),'ESCALAS Salarios'!$D$2:$F$30,3,0))</f>
        <v>1850000</v>
      </c>
      <c r="M89" s="45">
        <v>1</v>
      </c>
      <c r="N89" s="45" t="s">
        <v>485</v>
      </c>
      <c r="O89" s="59">
        <v>45335</v>
      </c>
      <c r="P89" s="58">
        <v>45449</v>
      </c>
      <c r="Q89" s="59">
        <f>VLOOKUP($A89,[6]Contratistas!$A$3:$R$117,10,0)</f>
        <v>45335</v>
      </c>
      <c r="R89" s="237">
        <f>VLOOKUP($A89,[6]Contratistas!$A$3:$R$117,11,0)</f>
        <v>45449</v>
      </c>
      <c r="S89" s="78">
        <f t="shared" si="18"/>
        <v>7030000</v>
      </c>
      <c r="T89" s="59">
        <v>45517</v>
      </c>
      <c r="U89" s="58">
        <v>45624</v>
      </c>
      <c r="V89" s="78">
        <f t="shared" si="19"/>
        <v>6598333.333333334</v>
      </c>
      <c r="W89" s="76">
        <f t="shared" si="20"/>
        <v>7</v>
      </c>
      <c r="X89" s="93">
        <f t="shared" si="21"/>
        <v>13628333.333333334</v>
      </c>
      <c r="Y89" s="93">
        <f t="shared" si="30"/>
        <v>13740184.691625001</v>
      </c>
      <c r="Z89" s="171">
        <f t="shared" si="22"/>
        <v>-8.140455226911425E-3</v>
      </c>
      <c r="AA89" s="4">
        <v>1022324245</v>
      </c>
      <c r="AB89" s="136" t="s">
        <v>443</v>
      </c>
      <c r="AC89" s="80">
        <f t="shared" si="23"/>
        <v>13628333.333333334</v>
      </c>
      <c r="AD89" s="81" t="s">
        <v>243</v>
      </c>
      <c r="AE89" s="82" t="s">
        <v>15</v>
      </c>
      <c r="AF89" s="83" t="s">
        <v>361</v>
      </c>
      <c r="AG89" s="83"/>
      <c r="AH89" s="84" t="str">
        <f t="shared" si="27"/>
        <v>CON-079</v>
      </c>
      <c r="AI89" s="81">
        <v>80111600</v>
      </c>
      <c r="AJ89" s="46" t="s">
        <v>187</v>
      </c>
      <c r="AK89" s="47">
        <f t="shared" si="24"/>
        <v>45335</v>
      </c>
      <c r="AL89" s="47">
        <f t="shared" si="25"/>
        <v>45335</v>
      </c>
      <c r="AM89" s="233">
        <f t="shared" si="28"/>
        <v>7</v>
      </c>
      <c r="AN89" s="48" t="s">
        <v>241</v>
      </c>
      <c r="AO89" s="49" t="s">
        <v>242</v>
      </c>
      <c r="AP89" s="50">
        <f t="shared" si="29"/>
        <v>13628333.333333334</v>
      </c>
      <c r="AQ89" s="50">
        <f t="shared" si="26"/>
        <v>13628333.333333334</v>
      </c>
      <c r="AR89" s="48" t="s">
        <v>244</v>
      </c>
      <c r="AS89" s="48" t="s">
        <v>245</v>
      </c>
      <c r="AT89" s="51" t="s">
        <v>246</v>
      </c>
      <c r="AU89" s="52" t="s">
        <v>247</v>
      </c>
      <c r="AV89" s="53" t="str">
        <f t="shared" si="16"/>
        <v>SUBDIRECCIÓN DE BIENESTAR UNIVERSITARIO</v>
      </c>
      <c r="AW89" s="54" t="s">
        <v>248</v>
      </c>
      <c r="AX89" s="55" t="s">
        <v>249</v>
      </c>
      <c r="AY89" s="48" t="s">
        <v>244</v>
      </c>
      <c r="AZ89" s="48" t="s">
        <v>244</v>
      </c>
      <c r="BA89" s="56" t="s">
        <v>250</v>
      </c>
      <c r="BB89" s="57" t="s">
        <v>251</v>
      </c>
      <c r="BC89" s="57" t="s">
        <v>252</v>
      </c>
      <c r="BD89" s="57" t="s">
        <v>250</v>
      </c>
      <c r="BE89" s="57"/>
      <c r="BF89" s="57"/>
    </row>
    <row r="90" spans="1:58" ht="33.75" x14ac:dyDescent="0.2">
      <c r="A90" s="44" t="s">
        <v>326</v>
      </c>
      <c r="B90" s="45" t="s">
        <v>63</v>
      </c>
      <c r="C90" s="45" t="s">
        <v>25</v>
      </c>
      <c r="D90" s="45" t="s">
        <v>38</v>
      </c>
      <c r="E90" s="45" t="s">
        <v>86</v>
      </c>
      <c r="F90" s="45" t="s">
        <v>40</v>
      </c>
      <c r="G90" s="45" t="s">
        <v>75</v>
      </c>
      <c r="H90" s="45" t="s">
        <v>71</v>
      </c>
      <c r="I90" s="45">
        <v>3</v>
      </c>
      <c r="J90" s="166">
        <v>1712528.2124999999</v>
      </c>
      <c r="K90" s="172">
        <f t="shared" si="17"/>
        <v>8.0274173877296073E-2</v>
      </c>
      <c r="L90" s="166">
        <f>IF(H90="OTRO",(J90*1.05),VLOOKUP((I90&amp;H90),'ESCALAS Salarios'!$D$2:$F$30,3,0))</f>
        <v>1850000</v>
      </c>
      <c r="M90" s="45">
        <v>1</v>
      </c>
      <c r="N90" s="45" t="s">
        <v>485</v>
      </c>
      <c r="O90" s="59">
        <v>45335</v>
      </c>
      <c r="P90" s="58">
        <v>45449</v>
      </c>
      <c r="Q90" s="59">
        <f>VLOOKUP($A90,[6]Contratistas!$A$3:$R$117,10,0)</f>
        <v>45335</v>
      </c>
      <c r="R90" s="237">
        <f>VLOOKUP($A90,[6]Contratistas!$A$3:$R$117,11,0)</f>
        <v>45449</v>
      </c>
      <c r="S90" s="78">
        <f t="shared" si="18"/>
        <v>7030000</v>
      </c>
      <c r="T90" s="59">
        <v>45517</v>
      </c>
      <c r="U90" s="58">
        <v>45624</v>
      </c>
      <c r="V90" s="78">
        <f t="shared" si="19"/>
        <v>6598333.333333334</v>
      </c>
      <c r="W90" s="76">
        <f t="shared" si="20"/>
        <v>7</v>
      </c>
      <c r="X90" s="93">
        <f t="shared" si="21"/>
        <v>13628333.333333334</v>
      </c>
      <c r="Y90" s="93">
        <f t="shared" si="30"/>
        <v>13740184.691625001</v>
      </c>
      <c r="Z90" s="171">
        <f t="shared" si="22"/>
        <v>-8.140455226911425E-3</v>
      </c>
      <c r="AA90" s="93"/>
      <c r="AB90" s="77" t="s">
        <v>41</v>
      </c>
      <c r="AC90" s="80">
        <f t="shared" si="23"/>
        <v>13628333.333333334</v>
      </c>
      <c r="AD90" s="81" t="s">
        <v>243</v>
      </c>
      <c r="AE90" s="82" t="s">
        <v>15</v>
      </c>
      <c r="AF90" s="83" t="s">
        <v>361</v>
      </c>
      <c r="AG90" s="83"/>
      <c r="AH90" s="84" t="str">
        <f t="shared" si="27"/>
        <v>CON-080</v>
      </c>
      <c r="AI90" s="178">
        <v>80111600</v>
      </c>
      <c r="AJ90" s="177" t="s">
        <v>188</v>
      </c>
      <c r="AK90" s="47">
        <f t="shared" si="24"/>
        <v>45335</v>
      </c>
      <c r="AL90" s="47">
        <f t="shared" si="25"/>
        <v>45335</v>
      </c>
      <c r="AM90" s="233">
        <f t="shared" si="28"/>
        <v>7</v>
      </c>
      <c r="AN90" s="48" t="s">
        <v>241</v>
      </c>
      <c r="AO90" s="49" t="s">
        <v>242</v>
      </c>
      <c r="AP90" s="50">
        <f t="shared" si="29"/>
        <v>13628333.333333334</v>
      </c>
      <c r="AQ90" s="50">
        <f t="shared" si="26"/>
        <v>13628333.333333334</v>
      </c>
      <c r="AR90" s="48" t="s">
        <v>244</v>
      </c>
      <c r="AS90" s="48" t="s">
        <v>245</v>
      </c>
      <c r="AT90" s="51" t="s">
        <v>246</v>
      </c>
      <c r="AU90" s="52" t="s">
        <v>247</v>
      </c>
      <c r="AV90" s="53" t="str">
        <f t="shared" si="16"/>
        <v>SUBDIRECCIÓN DE BIENESTAR UNIVERSITARIO</v>
      </c>
      <c r="AW90" s="54" t="s">
        <v>248</v>
      </c>
      <c r="AX90" s="55" t="s">
        <v>249</v>
      </c>
      <c r="AY90" s="48" t="s">
        <v>244</v>
      </c>
      <c r="AZ90" s="48" t="s">
        <v>244</v>
      </c>
      <c r="BA90" s="56" t="s">
        <v>250</v>
      </c>
      <c r="BB90" s="57" t="s">
        <v>251</v>
      </c>
      <c r="BC90" s="57" t="s">
        <v>252</v>
      </c>
      <c r="BD90" s="57" t="s">
        <v>250</v>
      </c>
      <c r="BE90" s="57"/>
      <c r="BF90" s="57"/>
    </row>
    <row r="91" spans="1:58" ht="45" x14ac:dyDescent="0.2">
      <c r="A91" s="44" t="s">
        <v>327</v>
      </c>
      <c r="B91" s="45" t="s">
        <v>63</v>
      </c>
      <c r="C91" s="45" t="s">
        <v>25</v>
      </c>
      <c r="D91" s="45" t="s">
        <v>38</v>
      </c>
      <c r="E91" s="45" t="s">
        <v>86</v>
      </c>
      <c r="F91" s="45" t="s">
        <v>40</v>
      </c>
      <c r="G91" s="45" t="s">
        <v>75</v>
      </c>
      <c r="H91" s="45" t="s">
        <v>71</v>
      </c>
      <c r="I91" s="45">
        <v>3</v>
      </c>
      <c r="J91" s="166">
        <v>1712528.2124999999</v>
      </c>
      <c r="K91" s="172">
        <f t="shared" si="17"/>
        <v>8.0274173877296073E-2</v>
      </c>
      <c r="L91" s="166">
        <f>IF(H91="OTRO",(J91*1.05),VLOOKUP((I91&amp;H91),'ESCALAS Salarios'!$D$2:$F$30,3,0))</f>
        <v>1850000</v>
      </c>
      <c r="M91" s="45">
        <v>1</v>
      </c>
      <c r="N91" s="45" t="s">
        <v>485</v>
      </c>
      <c r="O91" s="59">
        <v>45335</v>
      </c>
      <c r="P91" s="58">
        <v>45449</v>
      </c>
      <c r="Q91" s="59">
        <f>VLOOKUP($A91,[6]Contratistas!$A$3:$R$117,10,0)</f>
        <v>45335</v>
      </c>
      <c r="R91" s="237">
        <f>VLOOKUP($A91,[6]Contratistas!$A$3:$R$117,11,0)</f>
        <v>45449</v>
      </c>
      <c r="S91" s="78">
        <f t="shared" si="18"/>
        <v>7030000</v>
      </c>
      <c r="T91" s="59">
        <v>45517</v>
      </c>
      <c r="U91" s="58">
        <v>45624</v>
      </c>
      <c r="V91" s="78">
        <f t="shared" si="19"/>
        <v>6598333.333333334</v>
      </c>
      <c r="W91" s="76">
        <f t="shared" si="20"/>
        <v>7</v>
      </c>
      <c r="X91" s="93">
        <f t="shared" si="21"/>
        <v>13628333.333333334</v>
      </c>
      <c r="Y91" s="93">
        <f t="shared" si="30"/>
        <v>13740184.691625001</v>
      </c>
      <c r="Z91" s="171">
        <f t="shared" si="22"/>
        <v>-8.140455226911425E-3</v>
      </c>
      <c r="AA91" s="4">
        <v>51596583</v>
      </c>
      <c r="AB91" s="136" t="s">
        <v>444</v>
      </c>
      <c r="AC91" s="80">
        <f t="shared" si="23"/>
        <v>13628333.333333334</v>
      </c>
      <c r="AD91" s="81" t="s">
        <v>243</v>
      </c>
      <c r="AE91" s="82" t="s">
        <v>15</v>
      </c>
      <c r="AF91" s="83" t="s">
        <v>361</v>
      </c>
      <c r="AG91" s="83"/>
      <c r="AH91" s="84" t="str">
        <f t="shared" si="27"/>
        <v>CON-081</v>
      </c>
      <c r="AI91" s="178">
        <v>80111600</v>
      </c>
      <c r="AJ91" s="177" t="s">
        <v>189</v>
      </c>
      <c r="AK91" s="47">
        <f t="shared" si="24"/>
        <v>45335</v>
      </c>
      <c r="AL91" s="47">
        <f t="shared" si="25"/>
        <v>45335</v>
      </c>
      <c r="AM91" s="233">
        <f t="shared" si="28"/>
        <v>7</v>
      </c>
      <c r="AN91" s="48" t="s">
        <v>241</v>
      </c>
      <c r="AO91" s="49" t="s">
        <v>242</v>
      </c>
      <c r="AP91" s="50">
        <f t="shared" si="29"/>
        <v>13628333.333333334</v>
      </c>
      <c r="AQ91" s="50">
        <f t="shared" si="26"/>
        <v>13628333.333333334</v>
      </c>
      <c r="AR91" s="48" t="s">
        <v>244</v>
      </c>
      <c r="AS91" s="48" t="s">
        <v>245</v>
      </c>
      <c r="AT91" s="51" t="s">
        <v>246</v>
      </c>
      <c r="AU91" s="52" t="s">
        <v>247</v>
      </c>
      <c r="AV91" s="53" t="str">
        <f t="shared" si="16"/>
        <v>SUBDIRECCIÓN DE BIENESTAR UNIVERSITARIO</v>
      </c>
      <c r="AW91" s="54" t="s">
        <v>248</v>
      </c>
      <c r="AX91" s="55" t="s">
        <v>249</v>
      </c>
      <c r="AY91" s="48" t="s">
        <v>244</v>
      </c>
      <c r="AZ91" s="48" t="s">
        <v>244</v>
      </c>
      <c r="BA91" s="56" t="s">
        <v>250</v>
      </c>
      <c r="BB91" s="57" t="s">
        <v>251</v>
      </c>
      <c r="BC91" s="57" t="s">
        <v>252</v>
      </c>
      <c r="BD91" s="57" t="s">
        <v>250</v>
      </c>
      <c r="BE91" s="57"/>
      <c r="BF91" s="57"/>
    </row>
    <row r="92" spans="1:58" ht="45" x14ac:dyDescent="0.2">
      <c r="A92" s="44" t="s">
        <v>328</v>
      </c>
      <c r="B92" s="45" t="s">
        <v>63</v>
      </c>
      <c r="C92" s="45" t="s">
        <v>25</v>
      </c>
      <c r="D92" s="45" t="s">
        <v>38</v>
      </c>
      <c r="E92" s="45" t="s">
        <v>86</v>
      </c>
      <c r="F92" s="45" t="s">
        <v>40</v>
      </c>
      <c r="G92" s="45" t="s">
        <v>75</v>
      </c>
      <c r="H92" s="45" t="s">
        <v>71</v>
      </c>
      <c r="I92" s="45">
        <v>3</v>
      </c>
      <c r="J92" s="166">
        <v>1712528.2124999999</v>
      </c>
      <c r="K92" s="172">
        <f t="shared" si="17"/>
        <v>8.0274173877296073E-2</v>
      </c>
      <c r="L92" s="166">
        <f>IF(H92="OTRO",(J92*1.05),VLOOKUP((I92&amp;H92),'ESCALAS Salarios'!$D$2:$F$30,3,0))</f>
        <v>1850000</v>
      </c>
      <c r="M92" s="45">
        <v>1</v>
      </c>
      <c r="N92" s="45" t="s">
        <v>485</v>
      </c>
      <c r="O92" s="59">
        <v>45335</v>
      </c>
      <c r="P92" s="58">
        <v>45449</v>
      </c>
      <c r="Q92" s="59">
        <f>VLOOKUP($A92,[6]Contratistas!$A$3:$R$117,10,0)</f>
        <v>45335</v>
      </c>
      <c r="R92" s="237">
        <f>VLOOKUP($A92,[6]Contratistas!$A$3:$R$117,11,0)</f>
        <v>45449</v>
      </c>
      <c r="S92" s="78">
        <f t="shared" si="18"/>
        <v>7030000</v>
      </c>
      <c r="T92" s="59">
        <v>45517</v>
      </c>
      <c r="U92" s="58">
        <v>45624</v>
      </c>
      <c r="V92" s="78">
        <f t="shared" si="19"/>
        <v>6598333.333333334</v>
      </c>
      <c r="W92" s="76">
        <f t="shared" si="20"/>
        <v>7</v>
      </c>
      <c r="X92" s="93">
        <f t="shared" si="21"/>
        <v>13628333.333333334</v>
      </c>
      <c r="Y92" s="93">
        <f t="shared" si="30"/>
        <v>13740184.691625001</v>
      </c>
      <c r="Z92" s="171">
        <f t="shared" si="22"/>
        <v>-8.140455226911425E-3</v>
      </c>
      <c r="AA92" s="4">
        <v>1014222525</v>
      </c>
      <c r="AB92" s="136" t="s">
        <v>445</v>
      </c>
      <c r="AC92" s="80">
        <f t="shared" si="23"/>
        <v>13628333.333333334</v>
      </c>
      <c r="AD92" s="81" t="s">
        <v>243</v>
      </c>
      <c r="AE92" s="82" t="s">
        <v>15</v>
      </c>
      <c r="AF92" s="83" t="s">
        <v>361</v>
      </c>
      <c r="AG92" s="83"/>
      <c r="AH92" s="84" t="str">
        <f t="shared" si="27"/>
        <v>CON-082</v>
      </c>
      <c r="AI92" s="178">
        <v>80111600</v>
      </c>
      <c r="AJ92" s="177" t="s">
        <v>190</v>
      </c>
      <c r="AK92" s="47">
        <f t="shared" si="24"/>
        <v>45335</v>
      </c>
      <c r="AL92" s="47">
        <f t="shared" si="25"/>
        <v>45335</v>
      </c>
      <c r="AM92" s="233">
        <f t="shared" si="28"/>
        <v>7</v>
      </c>
      <c r="AN92" s="48" t="s">
        <v>241</v>
      </c>
      <c r="AO92" s="49" t="s">
        <v>242</v>
      </c>
      <c r="AP92" s="50">
        <f t="shared" si="29"/>
        <v>13628333.333333334</v>
      </c>
      <c r="AQ92" s="50">
        <f t="shared" si="26"/>
        <v>13628333.333333334</v>
      </c>
      <c r="AR92" s="48" t="s">
        <v>244</v>
      </c>
      <c r="AS92" s="48" t="s">
        <v>245</v>
      </c>
      <c r="AT92" s="51" t="s">
        <v>246</v>
      </c>
      <c r="AU92" s="52" t="s">
        <v>247</v>
      </c>
      <c r="AV92" s="53" t="str">
        <f t="shared" si="16"/>
        <v>SUBDIRECCIÓN DE BIENESTAR UNIVERSITARIO</v>
      </c>
      <c r="AW92" s="54" t="s">
        <v>248</v>
      </c>
      <c r="AX92" s="55" t="s">
        <v>249</v>
      </c>
      <c r="AY92" s="48" t="s">
        <v>244</v>
      </c>
      <c r="AZ92" s="48" t="s">
        <v>244</v>
      </c>
      <c r="BA92" s="56" t="s">
        <v>250</v>
      </c>
      <c r="BB92" s="57" t="s">
        <v>251</v>
      </c>
      <c r="BC92" s="57" t="s">
        <v>252</v>
      </c>
      <c r="BD92" s="57" t="s">
        <v>250</v>
      </c>
      <c r="BE92" s="57"/>
      <c r="BF92" s="57"/>
    </row>
    <row r="93" spans="1:58" ht="45" x14ac:dyDescent="0.2">
      <c r="A93" s="44" t="s">
        <v>329</v>
      </c>
      <c r="B93" s="45" t="s">
        <v>63</v>
      </c>
      <c r="C93" s="45" t="s">
        <v>25</v>
      </c>
      <c r="D93" s="45" t="s">
        <v>38</v>
      </c>
      <c r="E93" s="45" t="s">
        <v>86</v>
      </c>
      <c r="F93" s="45" t="s">
        <v>40</v>
      </c>
      <c r="G93" s="45" t="s">
        <v>75</v>
      </c>
      <c r="H93" s="45" t="s">
        <v>71</v>
      </c>
      <c r="I93" s="45">
        <v>3</v>
      </c>
      <c r="J93" s="166">
        <v>1712528.2124999999</v>
      </c>
      <c r="K93" s="172">
        <f t="shared" si="17"/>
        <v>8.0274173877296073E-2</v>
      </c>
      <c r="L93" s="166">
        <f>IF(H93="OTRO",(J93*1.05),VLOOKUP((I93&amp;H93),'ESCALAS Salarios'!$D$2:$F$30,3,0))</f>
        <v>1850000</v>
      </c>
      <c r="M93" s="45">
        <v>1</v>
      </c>
      <c r="N93" s="45" t="s">
        <v>485</v>
      </c>
      <c r="O93" s="59">
        <v>45335</v>
      </c>
      <c r="P93" s="58">
        <v>45449</v>
      </c>
      <c r="Q93" s="59">
        <f>VLOOKUP($A93,[6]Contratistas!$A$3:$R$117,10,0)</f>
        <v>45335</v>
      </c>
      <c r="R93" s="237">
        <f>VLOOKUP($A93,[6]Contratistas!$A$3:$R$117,11,0)</f>
        <v>45449</v>
      </c>
      <c r="S93" s="78">
        <f t="shared" si="18"/>
        <v>7030000</v>
      </c>
      <c r="T93" s="59">
        <v>45517</v>
      </c>
      <c r="U93" s="58">
        <v>45624</v>
      </c>
      <c r="V93" s="78">
        <f t="shared" si="19"/>
        <v>6598333.333333334</v>
      </c>
      <c r="W93" s="76">
        <f t="shared" si="20"/>
        <v>7</v>
      </c>
      <c r="X93" s="93">
        <f t="shared" si="21"/>
        <v>13628333.333333334</v>
      </c>
      <c r="Y93" s="93">
        <f t="shared" si="30"/>
        <v>13740184.691625001</v>
      </c>
      <c r="Z93" s="171">
        <f t="shared" si="22"/>
        <v>-8.140455226911425E-3</v>
      </c>
      <c r="AA93" s="4">
        <v>1015442192</v>
      </c>
      <c r="AB93" s="136" t="s">
        <v>446</v>
      </c>
      <c r="AC93" s="80">
        <f t="shared" si="23"/>
        <v>13628333.333333334</v>
      </c>
      <c r="AD93" s="81" t="s">
        <v>243</v>
      </c>
      <c r="AE93" s="82" t="s">
        <v>15</v>
      </c>
      <c r="AF93" s="83" t="s">
        <v>361</v>
      </c>
      <c r="AG93" s="83"/>
      <c r="AH93" s="84" t="str">
        <f t="shared" si="27"/>
        <v>CON-083</v>
      </c>
      <c r="AI93" s="178">
        <v>80111600</v>
      </c>
      <c r="AJ93" s="177" t="s">
        <v>191</v>
      </c>
      <c r="AK93" s="47">
        <f t="shared" si="24"/>
        <v>45335</v>
      </c>
      <c r="AL93" s="47">
        <f t="shared" si="25"/>
        <v>45335</v>
      </c>
      <c r="AM93" s="233">
        <f t="shared" si="28"/>
        <v>7</v>
      </c>
      <c r="AN93" s="48" t="s">
        <v>241</v>
      </c>
      <c r="AO93" s="49" t="s">
        <v>242</v>
      </c>
      <c r="AP93" s="50">
        <f t="shared" si="29"/>
        <v>13628333.333333334</v>
      </c>
      <c r="AQ93" s="50">
        <f t="shared" si="26"/>
        <v>13628333.333333334</v>
      </c>
      <c r="AR93" s="48" t="s">
        <v>244</v>
      </c>
      <c r="AS93" s="48" t="s">
        <v>245</v>
      </c>
      <c r="AT93" s="51" t="s">
        <v>246</v>
      </c>
      <c r="AU93" s="52" t="s">
        <v>247</v>
      </c>
      <c r="AV93" s="53" t="str">
        <f t="shared" si="16"/>
        <v>SUBDIRECCIÓN DE BIENESTAR UNIVERSITARIO</v>
      </c>
      <c r="AW93" s="54" t="s">
        <v>248</v>
      </c>
      <c r="AX93" s="55" t="s">
        <v>249</v>
      </c>
      <c r="AY93" s="48" t="s">
        <v>244</v>
      </c>
      <c r="AZ93" s="48" t="s">
        <v>244</v>
      </c>
      <c r="BA93" s="56" t="s">
        <v>250</v>
      </c>
      <c r="BB93" s="57" t="s">
        <v>251</v>
      </c>
      <c r="BC93" s="57" t="s">
        <v>252</v>
      </c>
      <c r="BD93" s="57" t="s">
        <v>250</v>
      </c>
      <c r="BE93" s="57"/>
      <c r="BF93" s="57"/>
    </row>
    <row r="94" spans="1:58" ht="45" x14ac:dyDescent="0.2">
      <c r="A94" s="44" t="s">
        <v>633</v>
      </c>
      <c r="B94" s="45" t="s">
        <v>63</v>
      </c>
      <c r="C94" s="45" t="s">
        <v>25</v>
      </c>
      <c r="D94" s="45" t="s">
        <v>38</v>
      </c>
      <c r="E94" s="45" t="s">
        <v>86</v>
      </c>
      <c r="F94" s="45" t="s">
        <v>40</v>
      </c>
      <c r="G94" s="45" t="s">
        <v>75</v>
      </c>
      <c r="H94" s="45" t="s">
        <v>71</v>
      </c>
      <c r="I94" s="45">
        <v>3</v>
      </c>
      <c r="J94" s="166">
        <v>1712528.2124999999</v>
      </c>
      <c r="K94" s="172">
        <f t="shared" si="17"/>
        <v>8.0274173877296073E-2</v>
      </c>
      <c r="L94" s="166">
        <f>IF(H94="OTRO",(J94*1.05),VLOOKUP((I94&amp;H94),'ESCALAS Salarios'!$D$2:$F$30,3,0))</f>
        <v>1850000</v>
      </c>
      <c r="M94" s="45">
        <v>1</v>
      </c>
      <c r="N94" s="45" t="s">
        <v>485</v>
      </c>
      <c r="O94" s="59">
        <v>45335</v>
      </c>
      <c r="P94" s="58">
        <v>45449</v>
      </c>
      <c r="Q94" s="59">
        <f>VLOOKUP($A94,[6]Contratistas!$A$3:$R$117,10,0)</f>
        <v>45335</v>
      </c>
      <c r="R94" s="237">
        <f>VLOOKUP($A94,[6]Contratistas!$A$3:$R$117,11,0)</f>
        <v>45449</v>
      </c>
      <c r="S94" s="78">
        <f t="shared" si="18"/>
        <v>7030000</v>
      </c>
      <c r="T94" s="59">
        <v>45517</v>
      </c>
      <c r="U94" s="58">
        <v>45624</v>
      </c>
      <c r="V94" s="78">
        <f t="shared" si="19"/>
        <v>6598333.333333334</v>
      </c>
      <c r="W94" s="76">
        <f t="shared" si="20"/>
        <v>7</v>
      </c>
      <c r="X94" s="93">
        <f t="shared" si="21"/>
        <v>13628333.333333334</v>
      </c>
      <c r="Y94" s="93">
        <f t="shared" si="30"/>
        <v>13740184.691625001</v>
      </c>
      <c r="Z94" s="171">
        <f t="shared" si="22"/>
        <v>-8.140455226911425E-3</v>
      </c>
      <c r="AA94" s="4">
        <v>52089714</v>
      </c>
      <c r="AB94" s="136" t="s">
        <v>447</v>
      </c>
      <c r="AC94" s="80">
        <f t="shared" si="23"/>
        <v>13628333.333333334</v>
      </c>
      <c r="AD94" s="81" t="s">
        <v>243</v>
      </c>
      <c r="AE94" s="82" t="s">
        <v>15</v>
      </c>
      <c r="AF94" s="83" t="s">
        <v>361</v>
      </c>
      <c r="AG94" s="83"/>
      <c r="AH94" s="84" t="str">
        <f t="shared" si="27"/>
        <v>CON-084</v>
      </c>
      <c r="AI94" s="178">
        <v>80111600</v>
      </c>
      <c r="AJ94" s="177" t="s">
        <v>192</v>
      </c>
      <c r="AK94" s="47">
        <f t="shared" si="24"/>
        <v>45335</v>
      </c>
      <c r="AL94" s="47">
        <f t="shared" si="25"/>
        <v>45335</v>
      </c>
      <c r="AM94" s="233">
        <f t="shared" si="28"/>
        <v>7</v>
      </c>
      <c r="AN94" s="48" t="s">
        <v>241</v>
      </c>
      <c r="AO94" s="49" t="s">
        <v>242</v>
      </c>
      <c r="AP94" s="50">
        <f t="shared" si="29"/>
        <v>13628333.333333334</v>
      </c>
      <c r="AQ94" s="50">
        <f t="shared" si="26"/>
        <v>13628333.333333334</v>
      </c>
      <c r="AR94" s="48" t="s">
        <v>244</v>
      </c>
      <c r="AS94" s="48" t="s">
        <v>245</v>
      </c>
      <c r="AT94" s="51" t="s">
        <v>246</v>
      </c>
      <c r="AU94" s="52" t="s">
        <v>247</v>
      </c>
      <c r="AV94" s="53" t="str">
        <f t="shared" si="16"/>
        <v>SUBDIRECCIÓN DE BIENESTAR UNIVERSITARIO</v>
      </c>
      <c r="AW94" s="54" t="s">
        <v>248</v>
      </c>
      <c r="AX94" s="55" t="s">
        <v>249</v>
      </c>
      <c r="AY94" s="48" t="s">
        <v>244</v>
      </c>
      <c r="AZ94" s="48" t="s">
        <v>244</v>
      </c>
      <c r="BA94" s="56" t="s">
        <v>250</v>
      </c>
      <c r="BB94" s="57" t="s">
        <v>251</v>
      </c>
      <c r="BC94" s="57" t="s">
        <v>252</v>
      </c>
      <c r="BD94" s="57" t="s">
        <v>250</v>
      </c>
      <c r="BE94" s="57"/>
      <c r="BF94" s="57"/>
    </row>
    <row r="95" spans="1:58" ht="33.75" x14ac:dyDescent="0.2">
      <c r="A95" s="44" t="s">
        <v>330</v>
      </c>
      <c r="B95" s="45" t="s">
        <v>63</v>
      </c>
      <c r="C95" s="45" t="s">
        <v>25</v>
      </c>
      <c r="D95" s="45" t="s">
        <v>38</v>
      </c>
      <c r="E95" s="45" t="s">
        <v>86</v>
      </c>
      <c r="F95" s="45" t="s">
        <v>40</v>
      </c>
      <c r="G95" s="45" t="s">
        <v>75</v>
      </c>
      <c r="H95" s="45" t="s">
        <v>71</v>
      </c>
      <c r="I95" s="45">
        <v>3</v>
      </c>
      <c r="J95" s="166">
        <v>1712528.2124999999</v>
      </c>
      <c r="K95" s="172">
        <f t="shared" si="17"/>
        <v>8.0274173877296073E-2</v>
      </c>
      <c r="L95" s="166">
        <f>IF(H95="OTRO",(J95*1.05),VLOOKUP((I95&amp;H95),'ESCALAS Salarios'!$D$2:$F$30,3,0))</f>
        <v>1850000</v>
      </c>
      <c r="M95" s="45">
        <v>1</v>
      </c>
      <c r="N95" s="45" t="s">
        <v>485</v>
      </c>
      <c r="O95" s="59">
        <v>45335</v>
      </c>
      <c r="P95" s="58">
        <v>45449</v>
      </c>
      <c r="Q95" s="59">
        <f>VLOOKUP($A95,[6]Contratistas!$A$3:$R$117,10,0)</f>
        <v>45335</v>
      </c>
      <c r="R95" s="237">
        <f>VLOOKUP($A95,[6]Contratistas!$A$3:$R$117,11,0)</f>
        <v>45449</v>
      </c>
      <c r="S95" s="78">
        <f t="shared" si="18"/>
        <v>7030000</v>
      </c>
      <c r="T95" s="59">
        <v>45517</v>
      </c>
      <c r="U95" s="58">
        <v>45624</v>
      </c>
      <c r="V95" s="78">
        <f t="shared" si="19"/>
        <v>6598333.333333334</v>
      </c>
      <c r="W95" s="76">
        <f t="shared" si="20"/>
        <v>7</v>
      </c>
      <c r="X95" s="93">
        <f t="shared" si="21"/>
        <v>13628333.333333334</v>
      </c>
      <c r="Y95" s="93">
        <f t="shared" si="30"/>
        <v>13740184.691625001</v>
      </c>
      <c r="Z95" s="171">
        <f t="shared" si="22"/>
        <v>-8.140455226911425E-3</v>
      </c>
      <c r="AA95" s="93"/>
      <c r="AB95" s="77" t="s">
        <v>2</v>
      </c>
      <c r="AC95" s="80">
        <f t="shared" si="23"/>
        <v>13628333.333333334</v>
      </c>
      <c r="AD95" s="81" t="s">
        <v>243</v>
      </c>
      <c r="AE95" s="82" t="s">
        <v>15</v>
      </c>
      <c r="AF95" s="83" t="s">
        <v>361</v>
      </c>
      <c r="AG95" s="83"/>
      <c r="AH95" s="84" t="str">
        <f t="shared" si="27"/>
        <v>CON-085</v>
      </c>
      <c r="AI95" s="178">
        <v>80111600</v>
      </c>
      <c r="AJ95" s="177" t="s">
        <v>193</v>
      </c>
      <c r="AK95" s="47">
        <f t="shared" si="24"/>
        <v>45335</v>
      </c>
      <c r="AL95" s="47">
        <f t="shared" si="25"/>
        <v>45335</v>
      </c>
      <c r="AM95" s="233">
        <f t="shared" si="28"/>
        <v>7</v>
      </c>
      <c r="AN95" s="48" t="s">
        <v>241</v>
      </c>
      <c r="AO95" s="49" t="s">
        <v>242</v>
      </c>
      <c r="AP95" s="50">
        <f t="shared" si="29"/>
        <v>13628333.333333334</v>
      </c>
      <c r="AQ95" s="50">
        <f t="shared" si="26"/>
        <v>13628333.333333334</v>
      </c>
      <c r="AR95" s="48" t="s">
        <v>244</v>
      </c>
      <c r="AS95" s="48" t="s">
        <v>245</v>
      </c>
      <c r="AT95" s="51" t="s">
        <v>246</v>
      </c>
      <c r="AU95" s="52" t="s">
        <v>247</v>
      </c>
      <c r="AV95" s="53" t="str">
        <f t="shared" si="16"/>
        <v>SUBDIRECCIÓN DE BIENESTAR UNIVERSITARIO</v>
      </c>
      <c r="AW95" s="54" t="s">
        <v>248</v>
      </c>
      <c r="AX95" s="55" t="s">
        <v>249</v>
      </c>
      <c r="AY95" s="48" t="s">
        <v>244</v>
      </c>
      <c r="AZ95" s="48" t="s">
        <v>244</v>
      </c>
      <c r="BA95" s="56" t="s">
        <v>250</v>
      </c>
      <c r="BB95" s="57" t="s">
        <v>251</v>
      </c>
      <c r="BC95" s="57" t="s">
        <v>252</v>
      </c>
      <c r="BD95" s="57" t="s">
        <v>250</v>
      </c>
      <c r="BE95" s="57"/>
      <c r="BF95" s="57"/>
    </row>
    <row r="96" spans="1:58" ht="67.5" x14ac:dyDescent="0.2">
      <c r="A96" s="44" t="s">
        <v>331</v>
      </c>
      <c r="B96" s="45" t="s">
        <v>63</v>
      </c>
      <c r="C96" s="45" t="s">
        <v>25</v>
      </c>
      <c r="D96" s="45" t="s">
        <v>38</v>
      </c>
      <c r="E96" s="45" t="s">
        <v>87</v>
      </c>
      <c r="F96" s="45" t="s">
        <v>383</v>
      </c>
      <c r="G96" s="45" t="s">
        <v>374</v>
      </c>
      <c r="H96" s="45" t="s">
        <v>69</v>
      </c>
      <c r="I96" s="45">
        <v>4</v>
      </c>
      <c r="J96" s="75">
        <v>3750000</v>
      </c>
      <c r="K96" s="172">
        <f t="shared" si="17"/>
        <v>4.0000000000000036E-2</v>
      </c>
      <c r="L96" s="166">
        <f>IF(H96="OTRO",(J96*1.05),VLOOKUP((I96&amp;H96),'ESCALAS Salarios'!$D$2:$F$30,3,0))</f>
        <v>3900000</v>
      </c>
      <c r="M96" s="45">
        <v>1</v>
      </c>
      <c r="N96" s="45" t="s">
        <v>485</v>
      </c>
      <c r="O96" s="59">
        <v>45327</v>
      </c>
      <c r="P96" s="58">
        <v>45639</v>
      </c>
      <c r="Q96" s="59">
        <f>VLOOKUP($A96,[6]Contratistas!$A$3:$R$117,10,0)</f>
        <v>45327</v>
      </c>
      <c r="R96" s="237">
        <f>VLOOKUP($A96,[6]Contratistas!$A$3:$R$117,11,0)</f>
        <v>45639</v>
      </c>
      <c r="S96" s="78">
        <f t="shared" si="18"/>
        <v>40560000</v>
      </c>
      <c r="T96" s="59"/>
      <c r="U96" s="59"/>
      <c r="V96" s="78">
        <f t="shared" si="19"/>
        <v>0</v>
      </c>
      <c r="W96" s="76">
        <f t="shared" si="20"/>
        <v>10</v>
      </c>
      <c r="X96" s="93">
        <f t="shared" si="21"/>
        <v>40560000</v>
      </c>
      <c r="Y96" s="93">
        <v>0</v>
      </c>
      <c r="Z96" s="171">
        <f>IF(Y96="",1,IF(Y96=0,1,((X96/Y96)-1)))</f>
        <v>1</v>
      </c>
      <c r="AA96" s="93"/>
      <c r="AB96" s="77" t="s">
        <v>2</v>
      </c>
      <c r="AC96" s="80">
        <f t="shared" si="23"/>
        <v>40560000</v>
      </c>
      <c r="AD96" s="81" t="s">
        <v>243</v>
      </c>
      <c r="AE96" s="82" t="s">
        <v>15</v>
      </c>
      <c r="AF96" s="83" t="s">
        <v>361</v>
      </c>
      <c r="AG96" s="83"/>
      <c r="AH96" s="84" t="str">
        <f t="shared" si="27"/>
        <v>CON-086</v>
      </c>
      <c r="AI96" s="81">
        <v>80111600</v>
      </c>
      <c r="AJ96" s="46" t="s">
        <v>194</v>
      </c>
      <c r="AK96" s="47">
        <f t="shared" si="24"/>
        <v>45327</v>
      </c>
      <c r="AL96" s="47">
        <f t="shared" si="25"/>
        <v>45327</v>
      </c>
      <c r="AM96" s="233">
        <f t="shared" si="28"/>
        <v>10</v>
      </c>
      <c r="AN96" s="48" t="s">
        <v>241</v>
      </c>
      <c r="AO96" s="49" t="s">
        <v>242</v>
      </c>
      <c r="AP96" s="50">
        <f t="shared" si="29"/>
        <v>40560000</v>
      </c>
      <c r="AQ96" s="50">
        <f t="shared" si="26"/>
        <v>40560000</v>
      </c>
      <c r="AR96" s="48" t="s">
        <v>244</v>
      </c>
      <c r="AS96" s="48" t="s">
        <v>245</v>
      </c>
      <c r="AT96" s="51" t="s">
        <v>246</v>
      </c>
      <c r="AU96" s="52" t="s">
        <v>247</v>
      </c>
      <c r="AV96" s="53" t="str">
        <f t="shared" si="16"/>
        <v>SUBDIRECCIÓN DE BIENESTAR UNIVERSITARIO</v>
      </c>
      <c r="AW96" s="54" t="s">
        <v>248</v>
      </c>
      <c r="AX96" s="55" t="s">
        <v>249</v>
      </c>
      <c r="AY96" s="48" t="s">
        <v>244</v>
      </c>
      <c r="AZ96" s="48" t="s">
        <v>244</v>
      </c>
      <c r="BA96" s="56" t="s">
        <v>250</v>
      </c>
      <c r="BB96" s="57" t="s">
        <v>251</v>
      </c>
      <c r="BC96" s="57" t="s">
        <v>252</v>
      </c>
      <c r="BD96" s="57" t="s">
        <v>250</v>
      </c>
      <c r="BE96" s="57"/>
      <c r="BF96" s="57"/>
    </row>
    <row r="97" spans="1:58" ht="56.25" customHeight="1" x14ac:dyDescent="0.2">
      <c r="A97" s="44" t="s">
        <v>332</v>
      </c>
      <c r="B97" s="45" t="s">
        <v>63</v>
      </c>
      <c r="C97" s="45" t="s">
        <v>13</v>
      </c>
      <c r="D97" s="45" t="s">
        <v>42</v>
      </c>
      <c r="E97" s="45" t="s">
        <v>88</v>
      </c>
      <c r="F97" s="45" t="s">
        <v>480</v>
      </c>
      <c r="G97" s="45" t="s">
        <v>374</v>
      </c>
      <c r="H97" s="45" t="s">
        <v>70</v>
      </c>
      <c r="I97" s="45">
        <v>1</v>
      </c>
      <c r="J97" s="75">
        <v>2200000</v>
      </c>
      <c r="K97" s="172">
        <f t="shared" si="17"/>
        <v>4.5454545454545414E-2</v>
      </c>
      <c r="L97" s="166">
        <f>IF(H97="OTRO",(J97*1.05),VLOOKUP((I97&amp;H97),'ESCALAS Salarios'!$D$2:$F$30,3,0))</f>
        <v>2300000</v>
      </c>
      <c r="M97" s="45">
        <v>1</v>
      </c>
      <c r="N97" s="45" t="s">
        <v>485</v>
      </c>
      <c r="O97" s="59">
        <v>45327</v>
      </c>
      <c r="P97" s="58">
        <v>45639</v>
      </c>
      <c r="Q97" s="59">
        <f>VLOOKUP($A97,[6]Contratistas!$A$3:$R$117,10,0)</f>
        <v>45327</v>
      </c>
      <c r="R97" s="237">
        <f>VLOOKUP($A97,[6]Contratistas!$A$3:$R$117,11,0)</f>
        <v>45639</v>
      </c>
      <c r="S97" s="78">
        <f t="shared" si="18"/>
        <v>23920000</v>
      </c>
      <c r="T97" s="59"/>
      <c r="U97" s="59"/>
      <c r="V97" s="78">
        <f t="shared" si="19"/>
        <v>0</v>
      </c>
      <c r="W97" s="76">
        <f t="shared" si="20"/>
        <v>10</v>
      </c>
      <c r="X97" s="93">
        <f t="shared" si="21"/>
        <v>23920000</v>
      </c>
      <c r="Y97" s="93">
        <v>12126400</v>
      </c>
      <c r="Z97" s="171">
        <f t="shared" ref="Z97:Z118" si="31">IF(Y97="",1,((X97/Y97)-1))</f>
        <v>0.97255574614065177</v>
      </c>
      <c r="AA97" s="137">
        <v>1077087302</v>
      </c>
      <c r="AB97" s="77" t="s">
        <v>448</v>
      </c>
      <c r="AC97" s="80">
        <f t="shared" si="23"/>
        <v>23920000</v>
      </c>
      <c r="AD97" s="81" t="s">
        <v>243</v>
      </c>
      <c r="AE97" s="82" t="s">
        <v>15</v>
      </c>
      <c r="AF97" s="83" t="s">
        <v>361</v>
      </c>
      <c r="AG97" s="83"/>
      <c r="AH97" s="84" t="str">
        <f t="shared" si="27"/>
        <v>CON-087</v>
      </c>
      <c r="AI97" s="81">
        <v>80111600</v>
      </c>
      <c r="AJ97" s="46" t="s">
        <v>195</v>
      </c>
      <c r="AK97" s="47">
        <f t="shared" si="24"/>
        <v>45327</v>
      </c>
      <c r="AL97" s="47">
        <f t="shared" si="25"/>
        <v>45327</v>
      </c>
      <c r="AM97" s="233">
        <f t="shared" si="28"/>
        <v>10</v>
      </c>
      <c r="AN97" s="48" t="s">
        <v>241</v>
      </c>
      <c r="AO97" s="49" t="s">
        <v>242</v>
      </c>
      <c r="AP97" s="50">
        <f t="shared" si="29"/>
        <v>23920000</v>
      </c>
      <c r="AQ97" s="50">
        <f t="shared" si="26"/>
        <v>23920000</v>
      </c>
      <c r="AR97" s="48" t="s">
        <v>244</v>
      </c>
      <c r="AS97" s="48" t="s">
        <v>245</v>
      </c>
      <c r="AT97" s="51" t="s">
        <v>246</v>
      </c>
      <c r="AU97" s="52" t="s">
        <v>247</v>
      </c>
      <c r="AV97" s="53" t="str">
        <f t="shared" si="16"/>
        <v xml:space="preserve">FACULTAD DE EDUCACIÓN FÍSICA </v>
      </c>
      <c r="AW97" s="54" t="s">
        <v>248</v>
      </c>
      <c r="AX97" s="55" t="s">
        <v>249</v>
      </c>
      <c r="AY97" s="48" t="s">
        <v>244</v>
      </c>
      <c r="AZ97" s="48" t="s">
        <v>244</v>
      </c>
      <c r="BA97" s="56" t="s">
        <v>250</v>
      </c>
      <c r="BB97" s="57" t="s">
        <v>251</v>
      </c>
      <c r="BC97" s="57" t="s">
        <v>252</v>
      </c>
      <c r="BD97" s="57" t="s">
        <v>250</v>
      </c>
      <c r="BE97" s="57"/>
      <c r="BF97" s="57"/>
    </row>
    <row r="98" spans="1:58" ht="22.5" x14ac:dyDescent="0.2">
      <c r="A98" s="44" t="s">
        <v>333</v>
      </c>
      <c r="B98" s="45" t="s">
        <v>63</v>
      </c>
      <c r="C98" s="45" t="s">
        <v>13</v>
      </c>
      <c r="D98" s="45" t="s">
        <v>42</v>
      </c>
      <c r="E98" s="45" t="s">
        <v>88</v>
      </c>
      <c r="F98" s="45" t="s">
        <v>480</v>
      </c>
      <c r="G98" s="45" t="s">
        <v>374</v>
      </c>
      <c r="H98" s="45" t="s">
        <v>70</v>
      </c>
      <c r="I98" s="45">
        <v>1</v>
      </c>
      <c r="J98" s="75">
        <v>2200000</v>
      </c>
      <c r="K98" s="172">
        <f t="shared" si="17"/>
        <v>4.5454545454545414E-2</v>
      </c>
      <c r="L98" s="166">
        <f>IF(H98="OTRO",(J98*1.05),VLOOKUP((I98&amp;H98),'ESCALAS Salarios'!$D$2:$F$30,3,0))</f>
        <v>2300000</v>
      </c>
      <c r="M98" s="45">
        <v>1</v>
      </c>
      <c r="N98" s="45" t="s">
        <v>485</v>
      </c>
      <c r="O98" s="59">
        <v>45327</v>
      </c>
      <c r="P98" s="58">
        <v>45639</v>
      </c>
      <c r="Q98" s="59">
        <f>VLOOKUP($A98,[6]Contratistas!$A$3:$R$117,10,0)</f>
        <v>45327</v>
      </c>
      <c r="R98" s="237">
        <f>VLOOKUP($A98,[6]Contratistas!$A$3:$R$117,11,0)</f>
        <v>45639</v>
      </c>
      <c r="S98" s="78">
        <f t="shared" si="18"/>
        <v>23920000</v>
      </c>
      <c r="T98" s="59"/>
      <c r="U98" s="59"/>
      <c r="V98" s="78">
        <f t="shared" si="19"/>
        <v>0</v>
      </c>
      <c r="W98" s="76">
        <f t="shared" si="20"/>
        <v>10</v>
      </c>
      <c r="X98" s="93">
        <f t="shared" si="21"/>
        <v>23920000</v>
      </c>
      <c r="Y98" s="93">
        <v>22880000</v>
      </c>
      <c r="Z98" s="171">
        <f t="shared" si="31"/>
        <v>4.5454545454545414E-2</v>
      </c>
      <c r="AA98" s="137">
        <v>79309771</v>
      </c>
      <c r="AB98" s="77" t="s">
        <v>449</v>
      </c>
      <c r="AC98" s="80">
        <f t="shared" si="23"/>
        <v>23920000</v>
      </c>
      <c r="AD98" s="81" t="s">
        <v>243</v>
      </c>
      <c r="AE98" s="82" t="s">
        <v>15</v>
      </c>
      <c r="AF98" s="83" t="s">
        <v>361</v>
      </c>
      <c r="AG98" s="83"/>
      <c r="AH98" s="84" t="str">
        <f t="shared" si="27"/>
        <v>CON-088</v>
      </c>
      <c r="AI98" s="81">
        <v>80111600</v>
      </c>
      <c r="AJ98" s="46" t="s">
        <v>196</v>
      </c>
      <c r="AK98" s="47">
        <f t="shared" si="24"/>
        <v>45327</v>
      </c>
      <c r="AL98" s="47">
        <f t="shared" si="25"/>
        <v>45327</v>
      </c>
      <c r="AM98" s="233">
        <f t="shared" si="28"/>
        <v>10</v>
      </c>
      <c r="AN98" s="48" t="s">
        <v>241</v>
      </c>
      <c r="AO98" s="49" t="s">
        <v>242</v>
      </c>
      <c r="AP98" s="50">
        <f t="shared" si="29"/>
        <v>23920000</v>
      </c>
      <c r="AQ98" s="50">
        <f t="shared" si="26"/>
        <v>23920000</v>
      </c>
      <c r="AR98" s="48" t="s">
        <v>244</v>
      </c>
      <c r="AS98" s="48" t="s">
        <v>245</v>
      </c>
      <c r="AT98" s="51" t="s">
        <v>246</v>
      </c>
      <c r="AU98" s="52" t="s">
        <v>247</v>
      </c>
      <c r="AV98" s="53" t="str">
        <f t="shared" si="16"/>
        <v xml:space="preserve">FACULTAD DE EDUCACIÓN FÍSICA </v>
      </c>
      <c r="AW98" s="54" t="s">
        <v>248</v>
      </c>
      <c r="AX98" s="55" t="s">
        <v>249</v>
      </c>
      <c r="AY98" s="48" t="s">
        <v>244</v>
      </c>
      <c r="AZ98" s="48" t="s">
        <v>244</v>
      </c>
      <c r="BA98" s="56" t="s">
        <v>250</v>
      </c>
      <c r="BB98" s="57" t="s">
        <v>251</v>
      </c>
      <c r="BC98" s="57" t="s">
        <v>252</v>
      </c>
      <c r="BD98" s="57" t="s">
        <v>250</v>
      </c>
      <c r="BE98" s="57"/>
      <c r="BF98" s="57"/>
    </row>
    <row r="99" spans="1:58" ht="22.5" x14ac:dyDescent="0.2">
      <c r="A99" s="44" t="s">
        <v>334</v>
      </c>
      <c r="B99" s="45" t="s">
        <v>63</v>
      </c>
      <c r="C99" s="45" t="s">
        <v>13</v>
      </c>
      <c r="D99" s="45" t="s">
        <v>42</v>
      </c>
      <c r="E99" s="45" t="s">
        <v>88</v>
      </c>
      <c r="F99" s="45" t="s">
        <v>480</v>
      </c>
      <c r="G99" s="45" t="s">
        <v>374</v>
      </c>
      <c r="H99" s="45" t="s">
        <v>70</v>
      </c>
      <c r="I99" s="45">
        <v>1</v>
      </c>
      <c r="J99" s="75">
        <v>2200000</v>
      </c>
      <c r="K99" s="172">
        <f t="shared" si="17"/>
        <v>4.5454545454545414E-2</v>
      </c>
      <c r="L99" s="166">
        <f>IF(H99="OTRO",(J99*1.05),VLOOKUP((I99&amp;H99),'ESCALAS Salarios'!$D$2:$F$30,3,0))</f>
        <v>2300000</v>
      </c>
      <c r="M99" s="45">
        <v>1</v>
      </c>
      <c r="N99" s="45" t="s">
        <v>485</v>
      </c>
      <c r="O99" s="59">
        <v>45327</v>
      </c>
      <c r="P99" s="58">
        <v>45639</v>
      </c>
      <c r="Q99" s="59">
        <f>VLOOKUP($A99,[6]Contratistas!$A$3:$R$117,10,0)</f>
        <v>45327</v>
      </c>
      <c r="R99" s="237">
        <f>VLOOKUP($A99,[6]Contratistas!$A$3:$R$117,11,0)</f>
        <v>45639</v>
      </c>
      <c r="S99" s="78">
        <f t="shared" si="18"/>
        <v>23920000</v>
      </c>
      <c r="T99" s="59"/>
      <c r="U99" s="59"/>
      <c r="V99" s="78">
        <f t="shared" si="19"/>
        <v>0</v>
      </c>
      <c r="W99" s="76">
        <f t="shared" si="20"/>
        <v>10</v>
      </c>
      <c r="X99" s="93">
        <f t="shared" si="21"/>
        <v>23920000</v>
      </c>
      <c r="Y99" s="93">
        <v>22880000</v>
      </c>
      <c r="Z99" s="171">
        <f t="shared" si="31"/>
        <v>4.5454545454545414E-2</v>
      </c>
      <c r="AA99" s="137">
        <v>1023901267</v>
      </c>
      <c r="AB99" s="77" t="s">
        <v>450</v>
      </c>
      <c r="AC99" s="80">
        <f t="shared" si="23"/>
        <v>23920000</v>
      </c>
      <c r="AD99" s="81" t="s">
        <v>243</v>
      </c>
      <c r="AE99" s="82" t="s">
        <v>15</v>
      </c>
      <c r="AF99" s="83" t="s">
        <v>361</v>
      </c>
      <c r="AG99" s="83"/>
      <c r="AH99" s="84" t="str">
        <f t="shared" si="27"/>
        <v>CON-089</v>
      </c>
      <c r="AI99" s="81">
        <v>80111600</v>
      </c>
      <c r="AJ99" s="46" t="s">
        <v>197</v>
      </c>
      <c r="AK99" s="47">
        <f t="shared" si="24"/>
        <v>45327</v>
      </c>
      <c r="AL99" s="47">
        <f t="shared" si="25"/>
        <v>45327</v>
      </c>
      <c r="AM99" s="233">
        <f t="shared" si="28"/>
        <v>10</v>
      </c>
      <c r="AN99" s="48" t="s">
        <v>241</v>
      </c>
      <c r="AO99" s="49" t="s">
        <v>242</v>
      </c>
      <c r="AP99" s="50">
        <f t="shared" si="29"/>
        <v>23920000</v>
      </c>
      <c r="AQ99" s="50">
        <f t="shared" si="26"/>
        <v>23920000</v>
      </c>
      <c r="AR99" s="48" t="s">
        <v>244</v>
      </c>
      <c r="AS99" s="48" t="s">
        <v>245</v>
      </c>
      <c r="AT99" s="51" t="s">
        <v>246</v>
      </c>
      <c r="AU99" s="52" t="s">
        <v>247</v>
      </c>
      <c r="AV99" s="53" t="str">
        <f t="shared" si="16"/>
        <v xml:space="preserve">FACULTAD DE EDUCACIÓN FÍSICA </v>
      </c>
      <c r="AW99" s="54" t="s">
        <v>248</v>
      </c>
      <c r="AX99" s="55" t="s">
        <v>249</v>
      </c>
      <c r="AY99" s="48" t="s">
        <v>244</v>
      </c>
      <c r="AZ99" s="48" t="s">
        <v>244</v>
      </c>
      <c r="BA99" s="56" t="s">
        <v>250</v>
      </c>
      <c r="BB99" s="57" t="s">
        <v>251</v>
      </c>
      <c r="BC99" s="57" t="s">
        <v>252</v>
      </c>
      <c r="BD99" s="57" t="s">
        <v>250</v>
      </c>
      <c r="BE99" s="57"/>
      <c r="BF99" s="57"/>
    </row>
    <row r="100" spans="1:58" ht="45" x14ac:dyDescent="0.2">
      <c r="A100" s="44" t="s">
        <v>335</v>
      </c>
      <c r="B100" s="45" t="s">
        <v>63</v>
      </c>
      <c r="C100" s="45" t="s">
        <v>13</v>
      </c>
      <c r="D100" s="45" t="s">
        <v>42</v>
      </c>
      <c r="E100" s="45" t="s">
        <v>88</v>
      </c>
      <c r="F100" s="45" t="s">
        <v>480</v>
      </c>
      <c r="G100" s="45" t="s">
        <v>374</v>
      </c>
      <c r="H100" s="45" t="s">
        <v>70</v>
      </c>
      <c r="I100" s="45">
        <v>1</v>
      </c>
      <c r="J100" s="75">
        <v>2200000</v>
      </c>
      <c r="K100" s="172">
        <f t="shared" si="17"/>
        <v>4.5454545454545414E-2</v>
      </c>
      <c r="L100" s="166">
        <f>IF(H100="OTRO",(J100*1.05),VLOOKUP((I100&amp;H100),'ESCALAS Salarios'!$D$2:$F$30,3,0))</f>
        <v>2300000</v>
      </c>
      <c r="M100" s="45">
        <v>1</v>
      </c>
      <c r="N100" s="45" t="s">
        <v>485</v>
      </c>
      <c r="O100" s="59">
        <v>45327</v>
      </c>
      <c r="P100" s="58">
        <v>45639</v>
      </c>
      <c r="Q100" s="59">
        <f>VLOOKUP($A100,[6]Contratistas!$A$3:$R$117,10,0)</f>
        <v>45327</v>
      </c>
      <c r="R100" s="237">
        <f>VLOOKUP($A100,[6]Contratistas!$A$3:$R$117,11,0)</f>
        <v>45639</v>
      </c>
      <c r="S100" s="78">
        <f t="shared" si="18"/>
        <v>23920000</v>
      </c>
      <c r="T100" s="59"/>
      <c r="U100" s="59"/>
      <c r="V100" s="78">
        <f t="shared" si="19"/>
        <v>0</v>
      </c>
      <c r="W100" s="76">
        <f t="shared" si="20"/>
        <v>10</v>
      </c>
      <c r="X100" s="93">
        <f t="shared" si="21"/>
        <v>23920000</v>
      </c>
      <c r="Y100" s="93">
        <v>22880000</v>
      </c>
      <c r="Z100" s="171">
        <f t="shared" si="31"/>
        <v>4.5454545454545414E-2</v>
      </c>
      <c r="AA100" s="137">
        <v>1013650846</v>
      </c>
      <c r="AB100" s="77" t="s">
        <v>43</v>
      </c>
      <c r="AC100" s="80">
        <f t="shared" si="23"/>
        <v>23920000</v>
      </c>
      <c r="AD100" s="81" t="s">
        <v>243</v>
      </c>
      <c r="AE100" s="82" t="s">
        <v>15</v>
      </c>
      <c r="AF100" s="83" t="s">
        <v>361</v>
      </c>
      <c r="AG100" s="83"/>
      <c r="AH100" s="84" t="str">
        <f t="shared" si="27"/>
        <v>CON-090</v>
      </c>
      <c r="AI100" s="81">
        <v>80111600</v>
      </c>
      <c r="AJ100" s="46" t="s">
        <v>198</v>
      </c>
      <c r="AK100" s="47">
        <f t="shared" si="24"/>
        <v>45327</v>
      </c>
      <c r="AL100" s="47">
        <f t="shared" si="25"/>
        <v>45327</v>
      </c>
      <c r="AM100" s="233">
        <f t="shared" si="28"/>
        <v>10</v>
      </c>
      <c r="AN100" s="48" t="s">
        <v>241</v>
      </c>
      <c r="AO100" s="49" t="s">
        <v>242</v>
      </c>
      <c r="AP100" s="50">
        <f t="shared" si="29"/>
        <v>23920000</v>
      </c>
      <c r="AQ100" s="50">
        <f t="shared" si="26"/>
        <v>23920000</v>
      </c>
      <c r="AR100" s="48" t="s">
        <v>244</v>
      </c>
      <c r="AS100" s="48" t="s">
        <v>245</v>
      </c>
      <c r="AT100" s="51" t="s">
        <v>246</v>
      </c>
      <c r="AU100" s="52" t="s">
        <v>247</v>
      </c>
      <c r="AV100" s="53" t="str">
        <f t="shared" si="16"/>
        <v xml:space="preserve">FACULTAD DE EDUCACIÓN FÍSICA </v>
      </c>
      <c r="AW100" s="54" t="s">
        <v>248</v>
      </c>
      <c r="AX100" s="55" t="s">
        <v>249</v>
      </c>
      <c r="AY100" s="48" t="s">
        <v>244</v>
      </c>
      <c r="AZ100" s="48" t="s">
        <v>244</v>
      </c>
      <c r="BA100" s="56" t="s">
        <v>250</v>
      </c>
      <c r="BB100" s="57" t="s">
        <v>251</v>
      </c>
      <c r="BC100" s="57" t="s">
        <v>252</v>
      </c>
      <c r="BD100" s="57" t="s">
        <v>250</v>
      </c>
      <c r="BE100" s="57"/>
      <c r="BF100" s="57"/>
    </row>
    <row r="101" spans="1:58" ht="45" x14ac:dyDescent="0.2">
      <c r="A101" s="44" t="s">
        <v>336</v>
      </c>
      <c r="B101" s="45" t="s">
        <v>63</v>
      </c>
      <c r="C101" s="45" t="s">
        <v>13</v>
      </c>
      <c r="D101" s="45" t="s">
        <v>42</v>
      </c>
      <c r="E101" s="45" t="s">
        <v>88</v>
      </c>
      <c r="F101" s="45" t="s">
        <v>480</v>
      </c>
      <c r="G101" s="45" t="s">
        <v>374</v>
      </c>
      <c r="H101" s="45" t="s">
        <v>70</v>
      </c>
      <c r="I101" s="45">
        <v>1</v>
      </c>
      <c r="J101" s="75">
        <v>2200000</v>
      </c>
      <c r="K101" s="172">
        <f t="shared" si="17"/>
        <v>4.5454545454545414E-2</v>
      </c>
      <c r="L101" s="166">
        <f>IF(H101="OTRO",(J101*1.05),VLOOKUP((I101&amp;H101),'ESCALAS Salarios'!$D$2:$F$30,3,0))</f>
        <v>2300000</v>
      </c>
      <c r="M101" s="45">
        <v>1</v>
      </c>
      <c r="N101" s="45" t="s">
        <v>485</v>
      </c>
      <c r="O101" s="59">
        <v>45327</v>
      </c>
      <c r="P101" s="58">
        <v>45639</v>
      </c>
      <c r="Q101" s="59">
        <f>VLOOKUP($A101,[6]Contratistas!$A$3:$R$117,10,0)</f>
        <v>45327</v>
      </c>
      <c r="R101" s="237">
        <f>VLOOKUP($A101,[6]Contratistas!$A$3:$R$117,11,0)</f>
        <v>45639</v>
      </c>
      <c r="S101" s="78">
        <f t="shared" si="18"/>
        <v>23920000</v>
      </c>
      <c r="T101" s="59"/>
      <c r="U101" s="59"/>
      <c r="V101" s="78">
        <f t="shared" si="19"/>
        <v>0</v>
      </c>
      <c r="W101" s="76">
        <f t="shared" si="20"/>
        <v>10</v>
      </c>
      <c r="X101" s="93">
        <f t="shared" si="21"/>
        <v>23920000</v>
      </c>
      <c r="Y101" s="93">
        <v>22880000</v>
      </c>
      <c r="Z101" s="171">
        <f t="shared" si="31"/>
        <v>4.5454545454545414E-2</v>
      </c>
      <c r="AA101" s="137">
        <v>53159448</v>
      </c>
      <c r="AB101" s="77" t="s">
        <v>451</v>
      </c>
      <c r="AC101" s="80">
        <f t="shared" si="23"/>
        <v>23920000</v>
      </c>
      <c r="AD101" s="81" t="s">
        <v>243</v>
      </c>
      <c r="AE101" s="82" t="s">
        <v>15</v>
      </c>
      <c r="AF101" s="83" t="s">
        <v>361</v>
      </c>
      <c r="AG101" s="83"/>
      <c r="AH101" s="84" t="str">
        <f t="shared" si="27"/>
        <v>CON-091</v>
      </c>
      <c r="AI101" s="81">
        <v>80111600</v>
      </c>
      <c r="AJ101" s="46" t="s">
        <v>199</v>
      </c>
      <c r="AK101" s="47">
        <f t="shared" si="24"/>
        <v>45327</v>
      </c>
      <c r="AL101" s="47">
        <f t="shared" si="25"/>
        <v>45327</v>
      </c>
      <c r="AM101" s="233">
        <f t="shared" si="28"/>
        <v>10</v>
      </c>
      <c r="AN101" s="48" t="s">
        <v>241</v>
      </c>
      <c r="AO101" s="49" t="s">
        <v>242</v>
      </c>
      <c r="AP101" s="50">
        <f t="shared" si="29"/>
        <v>23920000</v>
      </c>
      <c r="AQ101" s="50">
        <f t="shared" si="26"/>
        <v>23920000</v>
      </c>
      <c r="AR101" s="48" t="s">
        <v>244</v>
      </c>
      <c r="AS101" s="48" t="s">
        <v>245</v>
      </c>
      <c r="AT101" s="51" t="s">
        <v>246</v>
      </c>
      <c r="AU101" s="52" t="s">
        <v>247</v>
      </c>
      <c r="AV101" s="53" t="str">
        <f t="shared" si="16"/>
        <v xml:space="preserve">FACULTAD DE EDUCACIÓN FÍSICA </v>
      </c>
      <c r="AW101" s="54" t="s">
        <v>248</v>
      </c>
      <c r="AX101" s="55" t="s">
        <v>249</v>
      </c>
      <c r="AY101" s="48" t="s">
        <v>244</v>
      </c>
      <c r="AZ101" s="48" t="s">
        <v>244</v>
      </c>
      <c r="BA101" s="56" t="s">
        <v>250</v>
      </c>
      <c r="BB101" s="57" t="s">
        <v>251</v>
      </c>
      <c r="BC101" s="57" t="s">
        <v>252</v>
      </c>
      <c r="BD101" s="57" t="s">
        <v>250</v>
      </c>
      <c r="BE101" s="57"/>
      <c r="BF101" s="57"/>
    </row>
    <row r="102" spans="1:58" ht="45" x14ac:dyDescent="0.2">
      <c r="A102" s="44" t="s">
        <v>337</v>
      </c>
      <c r="B102" s="151" t="s">
        <v>63</v>
      </c>
      <c r="C102" s="151" t="s">
        <v>13</v>
      </c>
      <c r="D102" s="151" t="s">
        <v>89</v>
      </c>
      <c r="E102" s="151" t="s">
        <v>44</v>
      </c>
      <c r="F102" s="151" t="s">
        <v>76</v>
      </c>
      <c r="G102" s="151" t="s">
        <v>72</v>
      </c>
      <c r="H102" s="151" t="s">
        <v>473</v>
      </c>
      <c r="I102" s="151"/>
      <c r="J102" s="152">
        <f>288271585/12/10.5</f>
        <v>2287869.722222222</v>
      </c>
      <c r="K102" s="172">
        <f t="shared" si="17"/>
        <v>0.1080000000000001</v>
      </c>
      <c r="L102" s="232">
        <f>+J102*1.108</f>
        <v>2534959.6522222222</v>
      </c>
      <c r="M102" s="45">
        <v>12</v>
      </c>
      <c r="N102" s="45" t="s">
        <v>485</v>
      </c>
      <c r="O102" s="59">
        <v>45327</v>
      </c>
      <c r="P102" s="59">
        <v>45641</v>
      </c>
      <c r="Q102" s="59">
        <f>VLOOKUP($A102,[6]Contratistas!$A$3:$R$117,10,0)</f>
        <v>45327</v>
      </c>
      <c r="R102" s="239">
        <f>VLOOKUP($A102,[6]Contratistas!$A$3:$R$117,11,0)</f>
        <v>45641</v>
      </c>
      <c r="S102" s="78">
        <f t="shared" si="18"/>
        <v>318390932.31911111</v>
      </c>
      <c r="T102" s="59"/>
      <c r="U102" s="59"/>
      <c r="V102" s="78">
        <f t="shared" si="19"/>
        <v>0</v>
      </c>
      <c r="W102" s="76">
        <f t="shared" si="20"/>
        <v>10</v>
      </c>
      <c r="X102" s="93">
        <f t="shared" si="21"/>
        <v>318390932.31911111</v>
      </c>
      <c r="Y102" s="93">
        <v>288271585</v>
      </c>
      <c r="Z102" s="171">
        <f t="shared" si="31"/>
        <v>0.10448253968253973</v>
      </c>
      <c r="AA102" s="73"/>
      <c r="AB102" s="73" t="s">
        <v>19</v>
      </c>
      <c r="AC102" s="80">
        <f t="shared" si="23"/>
        <v>318390932.31911111</v>
      </c>
      <c r="AD102" s="81" t="s">
        <v>243</v>
      </c>
      <c r="AE102" s="82" t="s">
        <v>15</v>
      </c>
      <c r="AF102" s="83" t="s">
        <v>361</v>
      </c>
      <c r="AG102" s="83"/>
      <c r="AH102" s="84" t="str">
        <f t="shared" si="27"/>
        <v>CON-092</v>
      </c>
      <c r="AI102" s="81">
        <v>80111600</v>
      </c>
      <c r="AJ102" s="46" t="s">
        <v>45</v>
      </c>
      <c r="AK102" s="47">
        <f t="shared" si="24"/>
        <v>45327</v>
      </c>
      <c r="AL102" s="47">
        <f t="shared" si="25"/>
        <v>45327</v>
      </c>
      <c r="AM102" s="233">
        <f t="shared" si="28"/>
        <v>10</v>
      </c>
      <c r="AN102" s="54" t="s">
        <v>241</v>
      </c>
      <c r="AO102" s="49" t="s">
        <v>242</v>
      </c>
      <c r="AP102" s="50">
        <f t="shared" si="29"/>
        <v>318390932.31911111</v>
      </c>
      <c r="AQ102" s="50">
        <f t="shared" si="26"/>
        <v>318390932.31911111</v>
      </c>
      <c r="AR102" s="48" t="s">
        <v>244</v>
      </c>
      <c r="AS102" s="48" t="s">
        <v>245</v>
      </c>
      <c r="AT102" s="51" t="s">
        <v>246</v>
      </c>
      <c r="AU102" s="52" t="s">
        <v>247</v>
      </c>
      <c r="AV102" s="151" t="str">
        <f t="shared" si="16"/>
        <v>FACULTAD DE EDUCACIÓN</v>
      </c>
      <c r="AW102" s="54" t="s">
        <v>248</v>
      </c>
      <c r="AX102" s="55" t="s">
        <v>249</v>
      </c>
      <c r="AY102" s="54" t="s">
        <v>244</v>
      </c>
      <c r="AZ102" s="54" t="s">
        <v>244</v>
      </c>
      <c r="BA102" s="153" t="s">
        <v>250</v>
      </c>
      <c r="BB102" s="154" t="s">
        <v>251</v>
      </c>
      <c r="BC102" s="154" t="s">
        <v>252</v>
      </c>
      <c r="BD102" s="154" t="s">
        <v>250</v>
      </c>
      <c r="BE102" s="154"/>
      <c r="BF102" s="154"/>
    </row>
    <row r="103" spans="1:58" ht="102" customHeight="1" x14ac:dyDescent="0.2">
      <c r="A103" s="44" t="s">
        <v>338</v>
      </c>
      <c r="B103" s="45" t="s">
        <v>63</v>
      </c>
      <c r="C103" s="45" t="s">
        <v>13</v>
      </c>
      <c r="D103" s="45" t="s">
        <v>89</v>
      </c>
      <c r="E103" s="45" t="s">
        <v>44</v>
      </c>
      <c r="F103" s="45" t="s">
        <v>383</v>
      </c>
      <c r="G103" s="45" t="s">
        <v>374</v>
      </c>
      <c r="H103" s="45" t="s">
        <v>69</v>
      </c>
      <c r="I103" s="45">
        <v>4</v>
      </c>
      <c r="J103" s="75">
        <v>3750000</v>
      </c>
      <c r="K103" s="172">
        <f t="shared" si="17"/>
        <v>4.0000000000000036E-2</v>
      </c>
      <c r="L103" s="166">
        <f>IF(H103="OTRO",(J103*1.05),VLOOKUP((I103&amp;H103),'ESCALAS Salarios'!$D$2:$F$30,3,0))</f>
        <v>3900000</v>
      </c>
      <c r="M103" s="45">
        <v>1</v>
      </c>
      <c r="N103" s="45" t="s">
        <v>485</v>
      </c>
      <c r="O103" s="59">
        <v>45327</v>
      </c>
      <c r="P103" s="58">
        <v>45641</v>
      </c>
      <c r="Q103" s="59">
        <f>VLOOKUP($A103,[6]Contratistas!$A$3:$R$117,10,0)</f>
        <v>45327</v>
      </c>
      <c r="R103" s="237">
        <f>VLOOKUP($A103,[6]Contratistas!$A$3:$R$117,11,0)</f>
        <v>45641</v>
      </c>
      <c r="S103" s="78">
        <f t="shared" si="18"/>
        <v>40820000</v>
      </c>
      <c r="T103" s="59"/>
      <c r="U103" s="59"/>
      <c r="V103" s="78">
        <f t="shared" si="19"/>
        <v>0</v>
      </c>
      <c r="W103" s="76">
        <f t="shared" si="20"/>
        <v>10</v>
      </c>
      <c r="X103" s="93">
        <f t="shared" si="21"/>
        <v>40820000</v>
      </c>
      <c r="Y103" s="93">
        <v>39625000</v>
      </c>
      <c r="Z103" s="171">
        <f t="shared" si="31"/>
        <v>3.0157728706624587E-2</v>
      </c>
      <c r="AA103" s="4">
        <v>89009341</v>
      </c>
      <c r="AB103" s="136" t="s">
        <v>452</v>
      </c>
      <c r="AC103" s="80">
        <f t="shared" si="23"/>
        <v>40820000</v>
      </c>
      <c r="AD103" s="81" t="s">
        <v>243</v>
      </c>
      <c r="AE103" s="82" t="s">
        <v>15</v>
      </c>
      <c r="AF103" s="83" t="s">
        <v>361</v>
      </c>
      <c r="AG103" s="83"/>
      <c r="AH103" s="84" t="str">
        <f t="shared" si="27"/>
        <v>CON-093</v>
      </c>
      <c r="AI103" s="81">
        <v>80111600</v>
      </c>
      <c r="AJ103" s="46" t="s">
        <v>200</v>
      </c>
      <c r="AK103" s="47">
        <f t="shared" si="24"/>
        <v>45327</v>
      </c>
      <c r="AL103" s="47">
        <f t="shared" si="25"/>
        <v>45327</v>
      </c>
      <c r="AM103" s="233">
        <f t="shared" si="28"/>
        <v>10</v>
      </c>
      <c r="AN103" s="48" t="s">
        <v>241</v>
      </c>
      <c r="AO103" s="49" t="s">
        <v>242</v>
      </c>
      <c r="AP103" s="50">
        <f t="shared" si="29"/>
        <v>40820000</v>
      </c>
      <c r="AQ103" s="50">
        <f t="shared" si="26"/>
        <v>40820000</v>
      </c>
      <c r="AR103" s="48" t="s">
        <v>244</v>
      </c>
      <c r="AS103" s="48" t="s">
        <v>245</v>
      </c>
      <c r="AT103" s="51" t="s">
        <v>246</v>
      </c>
      <c r="AU103" s="52" t="s">
        <v>247</v>
      </c>
      <c r="AV103" s="53" t="str">
        <f t="shared" ref="AV103:AV113" si="32">D103</f>
        <v>FACULTAD DE EDUCACIÓN</v>
      </c>
      <c r="AW103" s="54" t="s">
        <v>248</v>
      </c>
      <c r="AX103" s="55" t="s">
        <v>249</v>
      </c>
      <c r="AY103" s="48" t="s">
        <v>244</v>
      </c>
      <c r="AZ103" s="48" t="s">
        <v>244</v>
      </c>
      <c r="BA103" s="56" t="s">
        <v>250</v>
      </c>
      <c r="BB103" s="57" t="s">
        <v>251</v>
      </c>
      <c r="BC103" s="57" t="s">
        <v>252</v>
      </c>
      <c r="BD103" s="57" t="s">
        <v>250</v>
      </c>
      <c r="BE103" s="57"/>
      <c r="BF103" s="57"/>
    </row>
    <row r="104" spans="1:58" ht="67.5" x14ac:dyDescent="0.2">
      <c r="A104" s="44" t="s">
        <v>339</v>
      </c>
      <c r="B104" s="45" t="s">
        <v>63</v>
      </c>
      <c r="C104" s="45" t="s">
        <v>13</v>
      </c>
      <c r="D104" s="45" t="s">
        <v>22</v>
      </c>
      <c r="E104" s="45" t="s">
        <v>46</v>
      </c>
      <c r="F104" s="45" t="s">
        <v>383</v>
      </c>
      <c r="G104" s="45" t="s">
        <v>374</v>
      </c>
      <c r="H104" s="45" t="s">
        <v>69</v>
      </c>
      <c r="I104" s="45">
        <v>1</v>
      </c>
      <c r="J104" s="75">
        <v>3000000</v>
      </c>
      <c r="K104" s="172">
        <f t="shared" si="17"/>
        <v>3.3333333333333437E-2</v>
      </c>
      <c r="L104" s="166">
        <f>IF(H104="OTRO",(J104*1.05),VLOOKUP((I104&amp;H104),'ESCALAS Salarios'!$D$2:$F$30,3,0))</f>
        <v>3100000</v>
      </c>
      <c r="M104" s="45">
        <v>1</v>
      </c>
      <c r="N104" s="45" t="s">
        <v>485</v>
      </c>
      <c r="O104" s="59">
        <v>45327</v>
      </c>
      <c r="P104" s="58">
        <v>45634</v>
      </c>
      <c r="Q104" s="59">
        <f>VLOOKUP($A104,[6]Contratistas!$A$3:$R$117,10,0)</f>
        <v>45327</v>
      </c>
      <c r="R104" s="237">
        <f>VLOOKUP($A104,[6]Contratistas!$A$3:$R$117,11,0)</f>
        <v>45634</v>
      </c>
      <c r="S104" s="78">
        <f t="shared" si="18"/>
        <v>31723333.333333332</v>
      </c>
      <c r="T104" s="59"/>
      <c r="U104" s="59"/>
      <c r="V104" s="78">
        <f t="shared" si="19"/>
        <v>0</v>
      </c>
      <c r="W104" s="76">
        <f t="shared" si="20"/>
        <v>10</v>
      </c>
      <c r="X104" s="93">
        <f t="shared" si="21"/>
        <v>31723333.333333332</v>
      </c>
      <c r="Y104" s="93">
        <v>30500000</v>
      </c>
      <c r="Z104" s="171">
        <f t="shared" si="31"/>
        <v>4.0109289617486388E-2</v>
      </c>
      <c r="AA104" s="4">
        <v>1022351168</v>
      </c>
      <c r="AB104" s="136" t="s">
        <v>47</v>
      </c>
      <c r="AC104" s="80">
        <f t="shared" si="23"/>
        <v>31723333.333333332</v>
      </c>
      <c r="AD104" s="81" t="s">
        <v>243</v>
      </c>
      <c r="AE104" s="82" t="s">
        <v>15</v>
      </c>
      <c r="AF104" s="83" t="s">
        <v>361</v>
      </c>
      <c r="AG104" s="83"/>
      <c r="AH104" s="84" t="str">
        <f t="shared" si="27"/>
        <v>CON-094</v>
      </c>
      <c r="AI104" s="81">
        <v>80111600</v>
      </c>
      <c r="AJ104" s="46" t="s">
        <v>201</v>
      </c>
      <c r="AK104" s="47">
        <f t="shared" si="24"/>
        <v>45327</v>
      </c>
      <c r="AL104" s="47">
        <f t="shared" si="25"/>
        <v>45327</v>
      </c>
      <c r="AM104" s="233">
        <f t="shared" si="28"/>
        <v>10</v>
      </c>
      <c r="AN104" s="48" t="s">
        <v>241</v>
      </c>
      <c r="AO104" s="49" t="s">
        <v>242</v>
      </c>
      <c r="AP104" s="50">
        <f t="shared" si="29"/>
        <v>31723333.333333332</v>
      </c>
      <c r="AQ104" s="50">
        <f t="shared" si="26"/>
        <v>31723333.333333332</v>
      </c>
      <c r="AR104" s="48" t="s">
        <v>244</v>
      </c>
      <c r="AS104" s="48" t="s">
        <v>245</v>
      </c>
      <c r="AT104" s="51" t="s">
        <v>246</v>
      </c>
      <c r="AU104" s="52" t="s">
        <v>247</v>
      </c>
      <c r="AV104" s="53" t="str">
        <f t="shared" si="32"/>
        <v>FACULTAD DE CIENCIA Y TECNOLOGÍA</v>
      </c>
      <c r="AW104" s="54" t="s">
        <v>248</v>
      </c>
      <c r="AX104" s="55" t="s">
        <v>249</v>
      </c>
      <c r="AY104" s="48" t="s">
        <v>244</v>
      </c>
      <c r="AZ104" s="48" t="s">
        <v>244</v>
      </c>
      <c r="BA104" s="56" t="s">
        <v>250</v>
      </c>
      <c r="BB104" s="57" t="s">
        <v>251</v>
      </c>
      <c r="BC104" s="57" t="s">
        <v>252</v>
      </c>
      <c r="BD104" s="57" t="s">
        <v>250</v>
      </c>
      <c r="BE104" s="57"/>
      <c r="BF104" s="57"/>
    </row>
    <row r="105" spans="1:58" ht="45" x14ac:dyDescent="0.2">
      <c r="A105" s="44" t="s">
        <v>340</v>
      </c>
      <c r="B105" s="45" t="s">
        <v>63</v>
      </c>
      <c r="C105" s="45" t="s">
        <v>48</v>
      </c>
      <c r="D105" s="45" t="s">
        <v>48</v>
      </c>
      <c r="E105" s="45"/>
      <c r="F105" s="45" t="s">
        <v>383</v>
      </c>
      <c r="G105" s="45" t="s">
        <v>374</v>
      </c>
      <c r="H105" s="45" t="s">
        <v>69</v>
      </c>
      <c r="I105" s="45">
        <v>1</v>
      </c>
      <c r="J105" s="75">
        <v>3000000</v>
      </c>
      <c r="K105" s="172">
        <f t="shared" si="17"/>
        <v>3.3333333333333437E-2</v>
      </c>
      <c r="L105" s="166">
        <f>IF(H105="OTRO",(J105*1.05),VLOOKUP((I105&amp;H105),'ESCALAS Salarios'!$D$2:$F$30,3,0))</f>
        <v>3100000</v>
      </c>
      <c r="M105" s="45">
        <v>1</v>
      </c>
      <c r="N105" s="45" t="s">
        <v>485</v>
      </c>
      <c r="O105" s="59">
        <v>45306</v>
      </c>
      <c r="P105" s="58">
        <v>45632</v>
      </c>
      <c r="Q105" s="59">
        <f>VLOOKUP($A105,[6]Contratistas!$A$3:$R$117,10,0)</f>
        <v>45306</v>
      </c>
      <c r="R105" s="237">
        <f>VLOOKUP($A105,[6]Contratistas!$A$3:$R$117,11,0)</f>
        <v>45632</v>
      </c>
      <c r="S105" s="78">
        <f t="shared" si="18"/>
        <v>33686666.666666672</v>
      </c>
      <c r="T105" s="59"/>
      <c r="U105" s="59"/>
      <c r="V105" s="78">
        <f t="shared" si="19"/>
        <v>0</v>
      </c>
      <c r="W105" s="76">
        <f t="shared" si="20"/>
        <v>11</v>
      </c>
      <c r="X105" s="93">
        <f t="shared" si="21"/>
        <v>33686666.666666672</v>
      </c>
      <c r="Y105" s="93">
        <v>33300000</v>
      </c>
      <c r="Z105" s="171">
        <f t="shared" si="31"/>
        <v>1.1611611611611838E-2</v>
      </c>
      <c r="AA105" s="4">
        <v>1082966673</v>
      </c>
      <c r="AB105" s="136" t="s">
        <v>453</v>
      </c>
      <c r="AC105" s="80">
        <f t="shared" si="23"/>
        <v>33686666.666666672</v>
      </c>
      <c r="AD105" s="81" t="s">
        <v>243</v>
      </c>
      <c r="AE105" s="82" t="s">
        <v>1</v>
      </c>
      <c r="AF105" s="83" t="s">
        <v>361</v>
      </c>
      <c r="AG105" s="83"/>
      <c r="AH105" s="84" t="str">
        <f t="shared" si="27"/>
        <v>CON-095</v>
      </c>
      <c r="AI105" s="81">
        <v>80111600</v>
      </c>
      <c r="AJ105" s="46" t="s">
        <v>202</v>
      </c>
      <c r="AK105" s="47">
        <f t="shared" si="24"/>
        <v>45306</v>
      </c>
      <c r="AL105" s="47">
        <f t="shared" si="25"/>
        <v>45306</v>
      </c>
      <c r="AM105" s="233">
        <f t="shared" si="28"/>
        <v>11</v>
      </c>
      <c r="AN105" s="48" t="s">
        <v>241</v>
      </c>
      <c r="AO105" s="49" t="s">
        <v>242</v>
      </c>
      <c r="AP105" s="50">
        <f t="shared" si="29"/>
        <v>33686666.666666672</v>
      </c>
      <c r="AQ105" s="50">
        <f t="shared" si="26"/>
        <v>33686666.666666672</v>
      </c>
      <c r="AR105" s="48" t="s">
        <v>244</v>
      </c>
      <c r="AS105" s="48" t="s">
        <v>245</v>
      </c>
      <c r="AT105" s="51" t="s">
        <v>246</v>
      </c>
      <c r="AU105" s="52" t="s">
        <v>247</v>
      </c>
      <c r="AV105" s="53" t="str">
        <f t="shared" si="32"/>
        <v>INSTITUTO PEDAGÓGICO NACIONAL</v>
      </c>
      <c r="AW105" s="54" t="s">
        <v>248</v>
      </c>
      <c r="AX105" s="55" t="s">
        <v>249</v>
      </c>
      <c r="AY105" s="48" t="s">
        <v>244</v>
      </c>
      <c r="AZ105" s="48" t="s">
        <v>244</v>
      </c>
      <c r="BA105" s="56" t="s">
        <v>250</v>
      </c>
      <c r="BB105" s="57" t="s">
        <v>251</v>
      </c>
      <c r="BC105" s="57" t="s">
        <v>252</v>
      </c>
      <c r="BD105" s="57" t="s">
        <v>250</v>
      </c>
      <c r="BE105" s="57"/>
      <c r="BF105" s="57"/>
    </row>
    <row r="106" spans="1:58" ht="33.75" x14ac:dyDescent="0.2">
      <c r="A106" s="44" t="s">
        <v>341</v>
      </c>
      <c r="B106" s="45" t="s">
        <v>63</v>
      </c>
      <c r="C106" s="45" t="s">
        <v>48</v>
      </c>
      <c r="D106" s="45" t="s">
        <v>48</v>
      </c>
      <c r="E106" s="45"/>
      <c r="F106" s="45" t="s">
        <v>480</v>
      </c>
      <c r="G106" s="45" t="s">
        <v>374</v>
      </c>
      <c r="H106" s="45" t="s">
        <v>70</v>
      </c>
      <c r="I106" s="45">
        <v>1</v>
      </c>
      <c r="J106" s="75">
        <v>2200000</v>
      </c>
      <c r="K106" s="172">
        <f t="shared" si="17"/>
        <v>4.5454545454545414E-2</v>
      </c>
      <c r="L106" s="166">
        <f>IF(H106="OTRO",(J106*1.05),VLOOKUP((I106&amp;H106),'ESCALAS Salarios'!$D$2:$F$30,3,0))</f>
        <v>2300000</v>
      </c>
      <c r="M106" s="45">
        <v>1</v>
      </c>
      <c r="N106" s="45" t="s">
        <v>485</v>
      </c>
      <c r="O106" s="59">
        <v>45327</v>
      </c>
      <c r="P106" s="58">
        <v>45632</v>
      </c>
      <c r="Q106" s="59">
        <f>VLOOKUP($A106,[6]Contratistas!$A$3:$R$117,10,0)</f>
        <v>45327</v>
      </c>
      <c r="R106" s="237">
        <f>VLOOKUP($A106,[6]Contratistas!$A$3:$R$117,11,0)</f>
        <v>45632</v>
      </c>
      <c r="S106" s="78">
        <f t="shared" si="18"/>
        <v>23383333.333333332</v>
      </c>
      <c r="T106" s="59"/>
      <c r="U106" s="59"/>
      <c r="V106" s="78">
        <f t="shared" si="19"/>
        <v>0</v>
      </c>
      <c r="W106" s="76">
        <f t="shared" si="20"/>
        <v>10</v>
      </c>
      <c r="X106" s="93">
        <f t="shared" si="21"/>
        <v>23383333.333333332</v>
      </c>
      <c r="Y106" s="93">
        <v>22733333.333333336</v>
      </c>
      <c r="Z106" s="171">
        <f t="shared" si="31"/>
        <v>2.8592375366568668E-2</v>
      </c>
      <c r="AA106" s="4">
        <v>1121937406</v>
      </c>
      <c r="AB106" s="136" t="s">
        <v>454</v>
      </c>
      <c r="AC106" s="80">
        <f t="shared" si="23"/>
        <v>23383333.333333332</v>
      </c>
      <c r="AD106" s="81" t="s">
        <v>243</v>
      </c>
      <c r="AE106" s="82" t="s">
        <v>15</v>
      </c>
      <c r="AF106" s="83" t="s">
        <v>361</v>
      </c>
      <c r="AG106" s="83"/>
      <c r="AH106" s="84" t="str">
        <f t="shared" si="27"/>
        <v>CON-096</v>
      </c>
      <c r="AI106" s="81">
        <v>80111600</v>
      </c>
      <c r="AJ106" s="46" t="s">
        <v>203</v>
      </c>
      <c r="AK106" s="47">
        <f t="shared" si="24"/>
        <v>45327</v>
      </c>
      <c r="AL106" s="47">
        <f t="shared" si="25"/>
        <v>45327</v>
      </c>
      <c r="AM106" s="233">
        <f t="shared" si="28"/>
        <v>10</v>
      </c>
      <c r="AN106" s="48" t="s">
        <v>241</v>
      </c>
      <c r="AO106" s="49" t="s">
        <v>242</v>
      </c>
      <c r="AP106" s="50">
        <f t="shared" si="29"/>
        <v>23383333.333333332</v>
      </c>
      <c r="AQ106" s="50">
        <f t="shared" si="26"/>
        <v>23383333.333333332</v>
      </c>
      <c r="AR106" s="48" t="s">
        <v>244</v>
      </c>
      <c r="AS106" s="48" t="s">
        <v>245</v>
      </c>
      <c r="AT106" s="51" t="s">
        <v>246</v>
      </c>
      <c r="AU106" s="52" t="s">
        <v>247</v>
      </c>
      <c r="AV106" s="53" t="str">
        <f t="shared" si="32"/>
        <v>INSTITUTO PEDAGÓGICO NACIONAL</v>
      </c>
      <c r="AW106" s="54" t="s">
        <v>248</v>
      </c>
      <c r="AX106" s="55" t="s">
        <v>249</v>
      </c>
      <c r="AY106" s="48" t="s">
        <v>244</v>
      </c>
      <c r="AZ106" s="48" t="s">
        <v>244</v>
      </c>
      <c r="BA106" s="56" t="s">
        <v>250</v>
      </c>
      <c r="BB106" s="57" t="s">
        <v>251</v>
      </c>
      <c r="BC106" s="57" t="s">
        <v>252</v>
      </c>
      <c r="BD106" s="57" t="s">
        <v>250</v>
      </c>
      <c r="BE106" s="57"/>
      <c r="BF106" s="57"/>
    </row>
    <row r="107" spans="1:58" ht="33.75" x14ac:dyDescent="0.2">
      <c r="A107" s="44" t="s">
        <v>342</v>
      </c>
      <c r="B107" s="45" t="s">
        <v>63</v>
      </c>
      <c r="C107" s="45" t="s">
        <v>48</v>
      </c>
      <c r="D107" s="45" t="s">
        <v>48</v>
      </c>
      <c r="E107" s="45"/>
      <c r="F107" s="45" t="s">
        <v>481</v>
      </c>
      <c r="G107" s="45" t="s">
        <v>374</v>
      </c>
      <c r="H107" s="45" t="s">
        <v>71</v>
      </c>
      <c r="I107" s="45">
        <v>2</v>
      </c>
      <c r="J107" s="75">
        <v>1600000</v>
      </c>
      <c r="K107" s="172">
        <f t="shared" si="17"/>
        <v>9.375E-2</v>
      </c>
      <c r="L107" s="166">
        <f>IF(H107="OTRO",(J107*1.05),VLOOKUP((I107&amp;H107),'ESCALAS Salarios'!$D$2:$F$30,3,0))</f>
        <v>1750000</v>
      </c>
      <c r="M107" s="45">
        <v>1</v>
      </c>
      <c r="N107" s="45" t="s">
        <v>485</v>
      </c>
      <c r="O107" s="59">
        <v>45327</v>
      </c>
      <c r="P107" s="58">
        <v>45632</v>
      </c>
      <c r="Q107" s="59">
        <f>VLOOKUP($A107,[6]Contratistas!$A$3:$R$117,10,0)</f>
        <v>45327</v>
      </c>
      <c r="R107" s="237">
        <f>VLOOKUP($A107,[6]Contratistas!$A$3:$R$117,11,0)</f>
        <v>45632</v>
      </c>
      <c r="S107" s="78">
        <f t="shared" si="18"/>
        <v>17791666.666666664</v>
      </c>
      <c r="T107" s="59"/>
      <c r="U107" s="59"/>
      <c r="V107" s="78">
        <f t="shared" si="19"/>
        <v>0</v>
      </c>
      <c r="W107" s="76">
        <f t="shared" si="20"/>
        <v>10</v>
      </c>
      <c r="X107" s="93">
        <f t="shared" si="21"/>
        <v>17791666.666666664</v>
      </c>
      <c r="Y107" s="93">
        <v>16266666.666666666</v>
      </c>
      <c r="Z107" s="171">
        <f t="shared" si="31"/>
        <v>9.375E-2</v>
      </c>
      <c r="AA107" s="4">
        <v>79530858</v>
      </c>
      <c r="AB107" s="136" t="s">
        <v>49</v>
      </c>
      <c r="AC107" s="80">
        <f t="shared" si="23"/>
        <v>17791666.666666664</v>
      </c>
      <c r="AD107" s="81" t="s">
        <v>243</v>
      </c>
      <c r="AE107" s="82" t="s">
        <v>1</v>
      </c>
      <c r="AF107" s="83" t="s">
        <v>361</v>
      </c>
      <c r="AG107" s="83"/>
      <c r="AH107" s="84" t="str">
        <f t="shared" si="27"/>
        <v>CON-097</v>
      </c>
      <c r="AI107" s="81">
        <v>80111600</v>
      </c>
      <c r="AJ107" s="46" t="s">
        <v>204</v>
      </c>
      <c r="AK107" s="47">
        <f t="shared" si="24"/>
        <v>45327</v>
      </c>
      <c r="AL107" s="47">
        <f t="shared" si="25"/>
        <v>45327</v>
      </c>
      <c r="AM107" s="233">
        <f t="shared" si="28"/>
        <v>10</v>
      </c>
      <c r="AN107" s="48" t="s">
        <v>241</v>
      </c>
      <c r="AO107" s="49" t="s">
        <v>242</v>
      </c>
      <c r="AP107" s="50">
        <f t="shared" si="29"/>
        <v>17791666.666666664</v>
      </c>
      <c r="AQ107" s="50">
        <f t="shared" si="26"/>
        <v>17791666.666666664</v>
      </c>
      <c r="AR107" s="48" t="s">
        <v>244</v>
      </c>
      <c r="AS107" s="48" t="s">
        <v>245</v>
      </c>
      <c r="AT107" s="51" t="s">
        <v>246</v>
      </c>
      <c r="AU107" s="52" t="s">
        <v>247</v>
      </c>
      <c r="AV107" s="53" t="str">
        <f t="shared" si="32"/>
        <v>INSTITUTO PEDAGÓGICO NACIONAL</v>
      </c>
      <c r="AW107" s="54" t="s">
        <v>248</v>
      </c>
      <c r="AX107" s="55" t="s">
        <v>249</v>
      </c>
      <c r="AY107" s="48" t="s">
        <v>244</v>
      </c>
      <c r="AZ107" s="48" t="s">
        <v>244</v>
      </c>
      <c r="BA107" s="56" t="s">
        <v>250</v>
      </c>
      <c r="BB107" s="57" t="s">
        <v>251</v>
      </c>
      <c r="BC107" s="57" t="s">
        <v>252</v>
      </c>
      <c r="BD107" s="57" t="s">
        <v>250</v>
      </c>
      <c r="BE107" s="57"/>
      <c r="BF107" s="57"/>
    </row>
    <row r="108" spans="1:58" ht="33.75" x14ac:dyDescent="0.2">
      <c r="A108" s="44" t="s">
        <v>343</v>
      </c>
      <c r="B108" s="45" t="s">
        <v>63</v>
      </c>
      <c r="C108" s="45" t="s">
        <v>48</v>
      </c>
      <c r="D108" s="45" t="s">
        <v>48</v>
      </c>
      <c r="E108" s="45"/>
      <c r="F108" s="45" t="s">
        <v>481</v>
      </c>
      <c r="G108" s="45" t="s">
        <v>374</v>
      </c>
      <c r="H108" s="45" t="s">
        <v>71</v>
      </c>
      <c r="I108" s="45">
        <v>2</v>
      </c>
      <c r="J108" s="75">
        <v>1600000</v>
      </c>
      <c r="K108" s="172">
        <f t="shared" si="17"/>
        <v>9.375E-2</v>
      </c>
      <c r="L108" s="166">
        <f>IF(H108="OTRO",(J108*1.05),VLOOKUP((I108&amp;H108),'ESCALAS Salarios'!$D$2:$F$30,3,0))</f>
        <v>1750000</v>
      </c>
      <c r="M108" s="45">
        <v>1</v>
      </c>
      <c r="N108" s="45" t="s">
        <v>485</v>
      </c>
      <c r="O108" s="59">
        <v>45306</v>
      </c>
      <c r="P108" s="58">
        <v>45632</v>
      </c>
      <c r="Q108" s="59">
        <f>VLOOKUP($A108,[6]Contratistas!$A$3:$R$117,10,0)</f>
        <v>45306</v>
      </c>
      <c r="R108" s="237">
        <f>VLOOKUP($A108,[6]Contratistas!$A$3:$R$117,11,0)</f>
        <v>45632</v>
      </c>
      <c r="S108" s="78">
        <f t="shared" si="18"/>
        <v>19016666.666666668</v>
      </c>
      <c r="T108" s="59"/>
      <c r="U108" s="59"/>
      <c r="V108" s="78">
        <f t="shared" si="19"/>
        <v>0</v>
      </c>
      <c r="W108" s="76">
        <f t="shared" si="20"/>
        <v>11</v>
      </c>
      <c r="X108" s="93">
        <f t="shared" si="21"/>
        <v>19016666.666666668</v>
      </c>
      <c r="Y108" s="93">
        <v>17386666.666666668</v>
      </c>
      <c r="Z108" s="171">
        <f t="shared" si="31"/>
        <v>9.375E-2</v>
      </c>
      <c r="AA108" s="4">
        <v>1073519478</v>
      </c>
      <c r="AB108" s="136" t="s">
        <v>455</v>
      </c>
      <c r="AC108" s="80">
        <f t="shared" si="23"/>
        <v>19016666.666666668</v>
      </c>
      <c r="AD108" s="81" t="s">
        <v>243</v>
      </c>
      <c r="AE108" s="82" t="s">
        <v>15</v>
      </c>
      <c r="AF108" s="83" t="s">
        <v>361</v>
      </c>
      <c r="AG108" s="83"/>
      <c r="AH108" s="84" t="str">
        <f t="shared" si="27"/>
        <v>CON-098</v>
      </c>
      <c r="AI108" s="81">
        <v>80111600</v>
      </c>
      <c r="AJ108" s="46" t="s">
        <v>205</v>
      </c>
      <c r="AK108" s="47">
        <f t="shared" si="24"/>
        <v>45306</v>
      </c>
      <c r="AL108" s="47">
        <f t="shared" si="25"/>
        <v>45306</v>
      </c>
      <c r="AM108" s="233">
        <f t="shared" si="28"/>
        <v>11</v>
      </c>
      <c r="AN108" s="48" t="s">
        <v>241</v>
      </c>
      <c r="AO108" s="49" t="s">
        <v>242</v>
      </c>
      <c r="AP108" s="50">
        <f t="shared" si="29"/>
        <v>19016666.666666668</v>
      </c>
      <c r="AQ108" s="50">
        <f t="shared" si="26"/>
        <v>19016666.666666668</v>
      </c>
      <c r="AR108" s="48" t="s">
        <v>244</v>
      </c>
      <c r="AS108" s="48" t="s">
        <v>245</v>
      </c>
      <c r="AT108" s="51" t="s">
        <v>246</v>
      </c>
      <c r="AU108" s="52" t="s">
        <v>247</v>
      </c>
      <c r="AV108" s="53" t="str">
        <f t="shared" si="32"/>
        <v>INSTITUTO PEDAGÓGICO NACIONAL</v>
      </c>
      <c r="AW108" s="54" t="s">
        <v>248</v>
      </c>
      <c r="AX108" s="55" t="s">
        <v>249</v>
      </c>
      <c r="AY108" s="48" t="s">
        <v>244</v>
      </c>
      <c r="AZ108" s="48" t="s">
        <v>244</v>
      </c>
      <c r="BA108" s="56" t="s">
        <v>250</v>
      </c>
      <c r="BB108" s="57" t="s">
        <v>251</v>
      </c>
      <c r="BC108" s="57" t="s">
        <v>252</v>
      </c>
      <c r="BD108" s="57" t="s">
        <v>250</v>
      </c>
      <c r="BE108" s="57"/>
      <c r="BF108" s="57"/>
    </row>
    <row r="109" spans="1:58" ht="45" x14ac:dyDescent="0.2">
      <c r="A109" s="44" t="s">
        <v>344</v>
      </c>
      <c r="B109" s="45" t="s">
        <v>63</v>
      </c>
      <c r="C109" s="45" t="s">
        <v>48</v>
      </c>
      <c r="D109" s="45" t="s">
        <v>48</v>
      </c>
      <c r="E109" s="45"/>
      <c r="F109" s="45" t="s">
        <v>480</v>
      </c>
      <c r="G109" s="45" t="s">
        <v>374</v>
      </c>
      <c r="H109" s="45" t="s">
        <v>70</v>
      </c>
      <c r="I109" s="45">
        <v>1</v>
      </c>
      <c r="J109" s="75">
        <v>2200000</v>
      </c>
      <c r="K109" s="172">
        <f t="shared" si="17"/>
        <v>4.5454545454545414E-2</v>
      </c>
      <c r="L109" s="166">
        <f>IF(H109="OTRO",(J109*1.05),VLOOKUP((I109&amp;H109),'ESCALAS Salarios'!$D$2:$F$30,3,0))</f>
        <v>2300000</v>
      </c>
      <c r="M109" s="45">
        <v>1</v>
      </c>
      <c r="N109" s="45" t="s">
        <v>485</v>
      </c>
      <c r="O109" s="59">
        <v>45327</v>
      </c>
      <c r="P109" s="58">
        <v>45632</v>
      </c>
      <c r="Q109" s="59">
        <f>VLOOKUP($A109,[6]Contratistas!$A$3:$R$117,10,0)</f>
        <v>45327</v>
      </c>
      <c r="R109" s="237">
        <f>VLOOKUP($A109,[6]Contratistas!$A$3:$R$117,11,0)</f>
        <v>45632</v>
      </c>
      <c r="S109" s="78">
        <f t="shared" si="18"/>
        <v>23383333.333333332</v>
      </c>
      <c r="T109" s="59"/>
      <c r="U109" s="59"/>
      <c r="V109" s="78">
        <f t="shared" si="19"/>
        <v>0</v>
      </c>
      <c r="W109" s="76">
        <f t="shared" si="20"/>
        <v>10</v>
      </c>
      <c r="X109" s="93">
        <f t="shared" si="21"/>
        <v>23383333.333333332</v>
      </c>
      <c r="Y109" s="93">
        <v>22733333.333333336</v>
      </c>
      <c r="Z109" s="171">
        <f t="shared" si="31"/>
        <v>2.8592375366568668E-2</v>
      </c>
      <c r="AA109" s="4">
        <v>41242571</v>
      </c>
      <c r="AB109" s="136" t="s">
        <v>456</v>
      </c>
      <c r="AC109" s="80">
        <f t="shared" si="23"/>
        <v>23383333.333333332</v>
      </c>
      <c r="AD109" s="81" t="s">
        <v>243</v>
      </c>
      <c r="AE109" s="82" t="s">
        <v>1</v>
      </c>
      <c r="AF109" s="83" t="s">
        <v>361</v>
      </c>
      <c r="AG109" s="83"/>
      <c r="AH109" s="84" t="str">
        <f t="shared" si="27"/>
        <v>CON-099</v>
      </c>
      <c r="AI109" s="81">
        <v>80111600</v>
      </c>
      <c r="AJ109" s="46" t="s">
        <v>206</v>
      </c>
      <c r="AK109" s="47">
        <f t="shared" si="24"/>
        <v>45327</v>
      </c>
      <c r="AL109" s="47">
        <f t="shared" si="25"/>
        <v>45327</v>
      </c>
      <c r="AM109" s="233">
        <f t="shared" si="28"/>
        <v>10</v>
      </c>
      <c r="AN109" s="48" t="s">
        <v>241</v>
      </c>
      <c r="AO109" s="49" t="s">
        <v>242</v>
      </c>
      <c r="AP109" s="50">
        <f t="shared" si="29"/>
        <v>23383333.333333332</v>
      </c>
      <c r="AQ109" s="50">
        <f t="shared" si="26"/>
        <v>23383333.333333332</v>
      </c>
      <c r="AR109" s="48" t="s">
        <v>244</v>
      </c>
      <c r="AS109" s="48" t="s">
        <v>245</v>
      </c>
      <c r="AT109" s="51" t="s">
        <v>246</v>
      </c>
      <c r="AU109" s="52" t="s">
        <v>247</v>
      </c>
      <c r="AV109" s="53" t="str">
        <f t="shared" si="32"/>
        <v>INSTITUTO PEDAGÓGICO NACIONAL</v>
      </c>
      <c r="AW109" s="54" t="s">
        <v>248</v>
      </c>
      <c r="AX109" s="55" t="s">
        <v>249</v>
      </c>
      <c r="AY109" s="48" t="s">
        <v>244</v>
      </c>
      <c r="AZ109" s="48" t="s">
        <v>244</v>
      </c>
      <c r="BA109" s="56" t="s">
        <v>250</v>
      </c>
      <c r="BB109" s="57" t="s">
        <v>251</v>
      </c>
      <c r="BC109" s="57" t="s">
        <v>252</v>
      </c>
      <c r="BD109" s="57" t="s">
        <v>250</v>
      </c>
      <c r="BE109" s="57"/>
      <c r="BF109" s="57"/>
    </row>
    <row r="110" spans="1:58" ht="45" x14ac:dyDescent="0.2">
      <c r="A110" s="44" t="s">
        <v>345</v>
      </c>
      <c r="B110" s="45" t="s">
        <v>90</v>
      </c>
      <c r="C110" s="45" t="s">
        <v>78</v>
      </c>
      <c r="D110" s="45" t="s">
        <v>91</v>
      </c>
      <c r="E110" s="45"/>
      <c r="F110" s="45" t="s">
        <v>480</v>
      </c>
      <c r="G110" s="45" t="s">
        <v>374</v>
      </c>
      <c r="H110" s="45" t="s">
        <v>70</v>
      </c>
      <c r="I110" s="45">
        <v>1</v>
      </c>
      <c r="J110" s="75">
        <v>2200000</v>
      </c>
      <c r="K110" s="172">
        <f t="shared" si="17"/>
        <v>4.5454545454545414E-2</v>
      </c>
      <c r="L110" s="166">
        <f>IF(H110="OTRO",(J110*1.05),VLOOKUP((I110&amp;H110),'ESCALAS Salarios'!$D$2:$F$30,3,0))</f>
        <v>2300000</v>
      </c>
      <c r="M110" s="45">
        <v>1</v>
      </c>
      <c r="N110" s="45" t="s">
        <v>485</v>
      </c>
      <c r="O110" s="59">
        <v>45327</v>
      </c>
      <c r="P110" s="58">
        <v>45634</v>
      </c>
      <c r="Q110" s="59">
        <f>VLOOKUP($A110,[6]Contratistas!$A$3:$R$117,10,0)</f>
        <v>45327</v>
      </c>
      <c r="R110" s="237">
        <f>VLOOKUP($A110,[6]Contratistas!$A$3:$R$117,11,0)</f>
        <v>45634</v>
      </c>
      <c r="S110" s="78">
        <f t="shared" si="18"/>
        <v>23536666.666666664</v>
      </c>
      <c r="T110" s="82"/>
      <c r="U110" s="82"/>
      <c r="V110" s="78">
        <f t="shared" si="19"/>
        <v>0</v>
      </c>
      <c r="W110" s="76">
        <f t="shared" si="20"/>
        <v>10</v>
      </c>
      <c r="X110" s="93">
        <f t="shared" si="21"/>
        <v>23536666.666666664</v>
      </c>
      <c r="Y110" s="93">
        <v>22733333.333333336</v>
      </c>
      <c r="Z110" s="171">
        <f t="shared" si="31"/>
        <v>3.5337243401759366E-2</v>
      </c>
      <c r="AA110" s="4">
        <v>21018921</v>
      </c>
      <c r="AB110" s="136" t="s">
        <v>457</v>
      </c>
      <c r="AC110" s="80">
        <f t="shared" si="23"/>
        <v>23536666.666666664</v>
      </c>
      <c r="AD110" s="81" t="s">
        <v>243</v>
      </c>
      <c r="AE110" s="82" t="s">
        <v>1</v>
      </c>
      <c r="AF110" s="83" t="s">
        <v>361</v>
      </c>
      <c r="AG110" s="83"/>
      <c r="AH110" s="84" t="str">
        <f t="shared" si="27"/>
        <v>CON-100</v>
      </c>
      <c r="AI110" s="81">
        <v>80111600</v>
      </c>
      <c r="AJ110" s="46" t="s">
        <v>92</v>
      </c>
      <c r="AK110" s="47">
        <f t="shared" si="24"/>
        <v>45327</v>
      </c>
      <c r="AL110" s="47">
        <f t="shared" si="25"/>
        <v>45327</v>
      </c>
      <c r="AM110" s="233">
        <f t="shared" si="28"/>
        <v>10</v>
      </c>
      <c r="AN110" s="48" t="s">
        <v>241</v>
      </c>
      <c r="AO110" s="49" t="s">
        <v>242</v>
      </c>
      <c r="AP110" s="50">
        <f t="shared" si="29"/>
        <v>23536666.666666664</v>
      </c>
      <c r="AQ110" s="50">
        <f t="shared" si="26"/>
        <v>23536666.666666664</v>
      </c>
      <c r="AR110" s="48" t="s">
        <v>244</v>
      </c>
      <c r="AS110" s="48" t="s">
        <v>245</v>
      </c>
      <c r="AT110" s="51" t="s">
        <v>246</v>
      </c>
      <c r="AU110" s="52" t="s">
        <v>247</v>
      </c>
      <c r="AV110" s="53" t="str">
        <f t="shared" si="32"/>
        <v>SUBDIRECCIÓN DE ASESORÍAS Y EXTENSIÓN</v>
      </c>
      <c r="AW110" s="54" t="s">
        <v>248</v>
      </c>
      <c r="AX110" s="55" t="s">
        <v>249</v>
      </c>
      <c r="AY110" s="48" t="s">
        <v>244</v>
      </c>
      <c r="AZ110" s="48" t="s">
        <v>244</v>
      </c>
      <c r="BA110" s="56" t="s">
        <v>250</v>
      </c>
      <c r="BB110" s="57" t="s">
        <v>251</v>
      </c>
      <c r="BC110" s="57" t="s">
        <v>252</v>
      </c>
      <c r="BD110" s="57" t="s">
        <v>250</v>
      </c>
      <c r="BE110" s="57"/>
      <c r="BF110" s="57"/>
    </row>
    <row r="111" spans="1:58" ht="72.75" customHeight="1" x14ac:dyDescent="0.2">
      <c r="A111" s="44" t="s">
        <v>634</v>
      </c>
      <c r="B111" s="45" t="s">
        <v>90</v>
      </c>
      <c r="C111" s="45" t="s">
        <v>78</v>
      </c>
      <c r="D111" s="45" t="s">
        <v>91</v>
      </c>
      <c r="E111" s="45"/>
      <c r="F111" s="45" t="s">
        <v>383</v>
      </c>
      <c r="G111" s="45" t="s">
        <v>374</v>
      </c>
      <c r="H111" s="45" t="s">
        <v>67</v>
      </c>
      <c r="I111" s="45">
        <v>6</v>
      </c>
      <c r="J111" s="75">
        <v>6000000</v>
      </c>
      <c r="K111" s="172">
        <f t="shared" si="17"/>
        <v>3.3333333333333437E-2</v>
      </c>
      <c r="L111" s="166">
        <f>IF(H111="OTRO",(J111*1.05),VLOOKUP((I111&amp;H111),'ESCALAS Salarios'!$D$2:$F$30,3,0))</f>
        <v>6200000</v>
      </c>
      <c r="M111" s="45">
        <v>1</v>
      </c>
      <c r="N111" s="45" t="s">
        <v>485</v>
      </c>
      <c r="O111" s="59">
        <v>45327</v>
      </c>
      <c r="P111" s="58">
        <v>45634</v>
      </c>
      <c r="Q111" s="59">
        <f>VLOOKUP($A111,[6]Contratistas!$A$3:$R$117,10,0)</f>
        <v>45327</v>
      </c>
      <c r="R111" s="237">
        <f>VLOOKUP($A111,[6]Contratistas!$A$3:$R$117,11,0)</f>
        <v>45634</v>
      </c>
      <c r="S111" s="78">
        <f t="shared" si="18"/>
        <v>63446666.666666664</v>
      </c>
      <c r="T111" s="82"/>
      <c r="U111" s="82"/>
      <c r="V111" s="78">
        <f t="shared" si="19"/>
        <v>0</v>
      </c>
      <c r="W111" s="76">
        <f t="shared" si="20"/>
        <v>10</v>
      </c>
      <c r="X111" s="93">
        <f t="shared" si="21"/>
        <v>63446666.666666664</v>
      </c>
      <c r="Y111" s="93">
        <v>61000000</v>
      </c>
      <c r="Z111" s="171">
        <f t="shared" si="31"/>
        <v>4.0109289617486388E-2</v>
      </c>
      <c r="AA111" s="136">
        <v>49778517</v>
      </c>
      <c r="AB111" s="136" t="s">
        <v>458</v>
      </c>
      <c r="AC111" s="80">
        <f t="shared" si="23"/>
        <v>63446666.666666664</v>
      </c>
      <c r="AD111" s="81" t="s">
        <v>243</v>
      </c>
      <c r="AE111" s="82" t="s">
        <v>1</v>
      </c>
      <c r="AF111" s="83" t="s">
        <v>361</v>
      </c>
      <c r="AG111" s="83"/>
      <c r="AH111" s="84" t="str">
        <f t="shared" si="27"/>
        <v>CON-101</v>
      </c>
      <c r="AI111" s="81">
        <v>80111600</v>
      </c>
      <c r="AJ111" s="46" t="s">
        <v>207</v>
      </c>
      <c r="AK111" s="47">
        <f t="shared" si="24"/>
        <v>45327</v>
      </c>
      <c r="AL111" s="47">
        <f t="shared" si="25"/>
        <v>45327</v>
      </c>
      <c r="AM111" s="233">
        <f t="shared" si="28"/>
        <v>10</v>
      </c>
      <c r="AN111" s="48" t="s">
        <v>241</v>
      </c>
      <c r="AO111" s="49" t="s">
        <v>242</v>
      </c>
      <c r="AP111" s="50">
        <f t="shared" si="29"/>
        <v>63446666.666666664</v>
      </c>
      <c r="AQ111" s="50">
        <f t="shared" si="26"/>
        <v>63446666.666666664</v>
      </c>
      <c r="AR111" s="48" t="s">
        <v>244</v>
      </c>
      <c r="AS111" s="48" t="s">
        <v>245</v>
      </c>
      <c r="AT111" s="51" t="s">
        <v>246</v>
      </c>
      <c r="AU111" s="52" t="s">
        <v>247</v>
      </c>
      <c r="AV111" s="53" t="str">
        <f t="shared" si="32"/>
        <v>SUBDIRECCIÓN DE ASESORÍAS Y EXTENSIÓN</v>
      </c>
      <c r="AW111" s="54" t="s">
        <v>248</v>
      </c>
      <c r="AX111" s="55" t="s">
        <v>249</v>
      </c>
      <c r="AY111" s="48" t="s">
        <v>244</v>
      </c>
      <c r="AZ111" s="48" t="s">
        <v>244</v>
      </c>
      <c r="BA111" s="56" t="s">
        <v>250</v>
      </c>
      <c r="BB111" s="57" t="s">
        <v>251</v>
      </c>
      <c r="BC111" s="57" t="s">
        <v>252</v>
      </c>
      <c r="BD111" s="57" t="s">
        <v>250</v>
      </c>
      <c r="BE111" s="57"/>
      <c r="BF111" s="57"/>
    </row>
    <row r="112" spans="1:58" ht="33.75" x14ac:dyDescent="0.2">
      <c r="A112" s="44" t="s">
        <v>346</v>
      </c>
      <c r="B112" s="45" t="s">
        <v>90</v>
      </c>
      <c r="C112" s="45" t="s">
        <v>78</v>
      </c>
      <c r="D112" s="45" t="s">
        <v>91</v>
      </c>
      <c r="E112" s="45"/>
      <c r="F112" s="45" t="s">
        <v>383</v>
      </c>
      <c r="G112" s="45" t="s">
        <v>374</v>
      </c>
      <c r="H112" s="45" t="s">
        <v>67</v>
      </c>
      <c r="I112" s="45">
        <v>3</v>
      </c>
      <c r="J112" s="75">
        <v>5000000</v>
      </c>
      <c r="K112" s="172">
        <f t="shared" si="17"/>
        <v>7.0000000000000062E-2</v>
      </c>
      <c r="L112" s="166">
        <f>IF(H112="OTRO",(J112*1.05),VLOOKUP((I112&amp;H112),'ESCALAS Salarios'!$D$2:$F$30,3,0))</f>
        <v>5350000</v>
      </c>
      <c r="M112" s="45">
        <v>1</v>
      </c>
      <c r="N112" s="45" t="s">
        <v>485</v>
      </c>
      <c r="O112" s="59">
        <v>45327</v>
      </c>
      <c r="P112" s="58">
        <v>45634</v>
      </c>
      <c r="Q112" s="59">
        <f>VLOOKUP($A112,[6]Contratistas!$A$3:$R$117,10,0)</f>
        <v>45327</v>
      </c>
      <c r="R112" s="237">
        <f>VLOOKUP($A112,[6]Contratistas!$A$3:$R$117,11,0)</f>
        <v>45634</v>
      </c>
      <c r="S112" s="78">
        <f t="shared" si="18"/>
        <v>54748333.333333328</v>
      </c>
      <c r="T112" s="82"/>
      <c r="U112" s="82"/>
      <c r="V112" s="78">
        <f t="shared" si="19"/>
        <v>0</v>
      </c>
      <c r="W112" s="76">
        <f t="shared" si="20"/>
        <v>10</v>
      </c>
      <c r="X112" s="93">
        <f t="shared" si="21"/>
        <v>54748333.333333328</v>
      </c>
      <c r="Y112" s="93">
        <v>50833333.333333328</v>
      </c>
      <c r="Z112" s="171">
        <f t="shared" si="31"/>
        <v>7.7016393442622899E-2</v>
      </c>
      <c r="AA112" s="136">
        <v>52356564</v>
      </c>
      <c r="AB112" s="136" t="s">
        <v>459</v>
      </c>
      <c r="AC112" s="80">
        <f t="shared" si="23"/>
        <v>54748333.333333328</v>
      </c>
      <c r="AD112" s="81" t="s">
        <v>243</v>
      </c>
      <c r="AE112" s="82" t="s">
        <v>1</v>
      </c>
      <c r="AF112" s="83" t="s">
        <v>361</v>
      </c>
      <c r="AG112" s="83"/>
      <c r="AH112" s="84" t="str">
        <f t="shared" si="27"/>
        <v>CON-102</v>
      </c>
      <c r="AI112" s="81">
        <v>80111600</v>
      </c>
      <c r="AJ112" s="46" t="s">
        <v>208</v>
      </c>
      <c r="AK112" s="47">
        <f t="shared" si="24"/>
        <v>45327</v>
      </c>
      <c r="AL112" s="47">
        <f t="shared" si="25"/>
        <v>45327</v>
      </c>
      <c r="AM112" s="233">
        <f t="shared" si="28"/>
        <v>10</v>
      </c>
      <c r="AN112" s="48" t="s">
        <v>241</v>
      </c>
      <c r="AO112" s="49" t="s">
        <v>242</v>
      </c>
      <c r="AP112" s="50">
        <f t="shared" si="29"/>
        <v>54748333.333333328</v>
      </c>
      <c r="AQ112" s="50">
        <f t="shared" si="26"/>
        <v>54748333.333333328</v>
      </c>
      <c r="AR112" s="48" t="s">
        <v>244</v>
      </c>
      <c r="AS112" s="48" t="s">
        <v>245</v>
      </c>
      <c r="AT112" s="51" t="s">
        <v>246</v>
      </c>
      <c r="AU112" s="52" t="s">
        <v>247</v>
      </c>
      <c r="AV112" s="53" t="str">
        <f t="shared" si="32"/>
        <v>SUBDIRECCIÓN DE ASESORÍAS Y EXTENSIÓN</v>
      </c>
      <c r="AW112" s="54" t="s">
        <v>248</v>
      </c>
      <c r="AX112" s="55" t="s">
        <v>249</v>
      </c>
      <c r="AY112" s="48" t="s">
        <v>244</v>
      </c>
      <c r="AZ112" s="48" t="s">
        <v>244</v>
      </c>
      <c r="BA112" s="56" t="s">
        <v>250</v>
      </c>
      <c r="BB112" s="57" t="s">
        <v>251</v>
      </c>
      <c r="BC112" s="57" t="s">
        <v>252</v>
      </c>
      <c r="BD112" s="57" t="s">
        <v>250</v>
      </c>
      <c r="BE112" s="57"/>
      <c r="BF112" s="57"/>
    </row>
    <row r="113" spans="1:58" ht="45" x14ac:dyDescent="0.2">
      <c r="A113" s="44" t="s">
        <v>635</v>
      </c>
      <c r="B113" s="45" t="s">
        <v>90</v>
      </c>
      <c r="C113" s="45" t="s">
        <v>78</v>
      </c>
      <c r="D113" s="45" t="s">
        <v>91</v>
      </c>
      <c r="E113" s="45"/>
      <c r="F113" s="45" t="s">
        <v>383</v>
      </c>
      <c r="G113" s="45" t="s">
        <v>374</v>
      </c>
      <c r="H113" s="45" t="s">
        <v>67</v>
      </c>
      <c r="I113" s="45">
        <v>3</v>
      </c>
      <c r="J113" s="75">
        <v>5000000</v>
      </c>
      <c r="K113" s="172">
        <f t="shared" si="17"/>
        <v>7.0000000000000062E-2</v>
      </c>
      <c r="L113" s="166">
        <f>IF(H113="OTRO",(J113*1.05),VLOOKUP((I113&amp;H113),'ESCALAS Salarios'!$D$2:$F$30,3,0))</f>
        <v>5350000</v>
      </c>
      <c r="M113" s="45">
        <v>1</v>
      </c>
      <c r="N113" s="45" t="s">
        <v>485</v>
      </c>
      <c r="O113" s="59">
        <v>45327</v>
      </c>
      <c r="P113" s="58">
        <v>45634</v>
      </c>
      <c r="Q113" s="59">
        <f>VLOOKUP($A113,[6]Contratistas!$A$3:$R$117,10,0)</f>
        <v>45327</v>
      </c>
      <c r="R113" s="237">
        <f>VLOOKUP($A113,[6]Contratistas!$A$3:$R$117,11,0)</f>
        <v>45634</v>
      </c>
      <c r="S113" s="78">
        <f t="shared" si="18"/>
        <v>54748333.333333328</v>
      </c>
      <c r="T113" s="82"/>
      <c r="U113" s="82"/>
      <c r="V113" s="78">
        <f t="shared" si="19"/>
        <v>0</v>
      </c>
      <c r="W113" s="76">
        <f t="shared" si="20"/>
        <v>10</v>
      </c>
      <c r="X113" s="93">
        <f t="shared" si="21"/>
        <v>54748333.333333328</v>
      </c>
      <c r="Y113" s="93">
        <v>50833333.333333328</v>
      </c>
      <c r="Z113" s="171">
        <f t="shared" si="31"/>
        <v>7.7016393442622899E-2</v>
      </c>
      <c r="AA113" s="136">
        <v>52211167</v>
      </c>
      <c r="AB113" s="136" t="s">
        <v>460</v>
      </c>
      <c r="AC113" s="80">
        <f t="shared" si="23"/>
        <v>54748333.333333328</v>
      </c>
      <c r="AD113" s="81" t="s">
        <v>243</v>
      </c>
      <c r="AE113" s="82" t="s">
        <v>1</v>
      </c>
      <c r="AF113" s="83" t="s">
        <v>361</v>
      </c>
      <c r="AG113" s="83"/>
      <c r="AH113" s="84" t="str">
        <f t="shared" si="27"/>
        <v>CON-103</v>
      </c>
      <c r="AI113" s="81">
        <v>80111600</v>
      </c>
      <c r="AJ113" s="46" t="s">
        <v>209</v>
      </c>
      <c r="AK113" s="47">
        <f t="shared" si="24"/>
        <v>45327</v>
      </c>
      <c r="AL113" s="47">
        <f t="shared" si="25"/>
        <v>45327</v>
      </c>
      <c r="AM113" s="233">
        <f t="shared" si="28"/>
        <v>10</v>
      </c>
      <c r="AN113" s="48" t="s">
        <v>241</v>
      </c>
      <c r="AO113" s="49" t="s">
        <v>242</v>
      </c>
      <c r="AP113" s="50">
        <f t="shared" si="29"/>
        <v>54748333.333333328</v>
      </c>
      <c r="AQ113" s="50">
        <f t="shared" si="26"/>
        <v>54748333.333333328</v>
      </c>
      <c r="AR113" s="48" t="s">
        <v>244</v>
      </c>
      <c r="AS113" s="48" t="s">
        <v>245</v>
      </c>
      <c r="AT113" s="51" t="s">
        <v>246</v>
      </c>
      <c r="AU113" s="52" t="s">
        <v>247</v>
      </c>
      <c r="AV113" s="53" t="str">
        <f t="shared" si="32"/>
        <v>SUBDIRECCIÓN DE ASESORÍAS Y EXTENSIÓN</v>
      </c>
      <c r="AW113" s="54" t="s">
        <v>248</v>
      </c>
      <c r="AX113" s="55" t="s">
        <v>249</v>
      </c>
      <c r="AY113" s="48" t="s">
        <v>244</v>
      </c>
      <c r="AZ113" s="48" t="s">
        <v>244</v>
      </c>
      <c r="BA113" s="56" t="s">
        <v>250</v>
      </c>
      <c r="BB113" s="57" t="s">
        <v>251</v>
      </c>
      <c r="BC113" s="57" t="s">
        <v>252</v>
      </c>
      <c r="BD113" s="57" t="s">
        <v>250</v>
      </c>
      <c r="BE113" s="57"/>
      <c r="BF113" s="57"/>
    </row>
    <row r="114" spans="1:58" ht="33.75" x14ac:dyDescent="0.2">
      <c r="A114" s="44" t="s">
        <v>347</v>
      </c>
      <c r="B114" s="33" t="s">
        <v>90</v>
      </c>
      <c r="C114" s="33" t="s">
        <v>78</v>
      </c>
      <c r="D114" s="33" t="s">
        <v>375</v>
      </c>
      <c r="E114" s="33"/>
      <c r="F114" s="45" t="s">
        <v>383</v>
      </c>
      <c r="G114" s="45" t="s">
        <v>374</v>
      </c>
      <c r="H114" s="45" t="s">
        <v>473</v>
      </c>
      <c r="I114" s="45"/>
      <c r="J114" s="75">
        <f>1700000000/108/8</f>
        <v>1967592.5925925926</v>
      </c>
      <c r="K114" s="172">
        <f t="shared" si="17"/>
        <v>5.0000000000000044E-2</v>
      </c>
      <c r="L114" s="166">
        <f>IF(H114="OTRO",(J114*1.05),VLOOKUP((I114&amp;H114),'ESCALAS Salarios'!$D$2:$F$30,3,0))</f>
        <v>2065972.2222222222</v>
      </c>
      <c r="M114" s="45">
        <v>108</v>
      </c>
      <c r="N114" s="45" t="s">
        <v>485</v>
      </c>
      <c r="O114" s="59">
        <v>45333</v>
      </c>
      <c r="P114" s="58">
        <v>45463</v>
      </c>
      <c r="Q114" s="59">
        <f>VLOOKUP($A114,[6]Contratistas!$A$3:$R$117,10,0)</f>
        <v>45327</v>
      </c>
      <c r="R114" s="237">
        <f>VLOOKUP($A114,[6]Contratistas!$A$3:$R$117,11,0)</f>
        <v>45626</v>
      </c>
      <c r="S114" s="78">
        <f t="shared" si="18"/>
        <v>2223812500</v>
      </c>
      <c r="T114" s="59">
        <v>45505</v>
      </c>
      <c r="U114" s="58">
        <v>45626</v>
      </c>
      <c r="V114" s="78">
        <f t="shared" ref="V114:V116" si="33">IF($N114="MENSUAL",ROUND((((U114-T114))/30),0)*$L114*$M114,((U114-T114)/30)*$L114*$M114)</f>
        <v>899937500</v>
      </c>
      <c r="W114" s="76">
        <f t="shared" si="20"/>
        <v>14</v>
      </c>
      <c r="X114" s="93">
        <f t="shared" si="21"/>
        <v>3123750000</v>
      </c>
      <c r="Y114" s="80">
        <v>1750000000</v>
      </c>
      <c r="Z114" s="171">
        <f t="shared" si="31"/>
        <v>0.78499999999999992</v>
      </c>
      <c r="AA114" s="94"/>
      <c r="AB114" s="77" t="s">
        <v>376</v>
      </c>
      <c r="AC114" s="80">
        <f t="shared" si="23"/>
        <v>3123750000</v>
      </c>
      <c r="AD114" s="87" t="s">
        <v>243</v>
      </c>
      <c r="AE114" s="82" t="s">
        <v>373</v>
      </c>
      <c r="AF114" s="88" t="s">
        <v>361</v>
      </c>
      <c r="AG114" s="83"/>
      <c r="AH114" s="84" t="str">
        <f t="shared" si="27"/>
        <v>CON-104</v>
      </c>
      <c r="AI114" s="87">
        <v>80111600</v>
      </c>
      <c r="AJ114" s="34" t="s">
        <v>468</v>
      </c>
      <c r="AK114" s="47">
        <f t="shared" si="24"/>
        <v>45327</v>
      </c>
      <c r="AL114" s="47">
        <f t="shared" si="25"/>
        <v>45327</v>
      </c>
      <c r="AM114" s="233">
        <f t="shared" si="28"/>
        <v>14</v>
      </c>
      <c r="AN114" s="63" t="s">
        <v>241</v>
      </c>
      <c r="AO114" s="49" t="s">
        <v>242</v>
      </c>
      <c r="AP114" s="50">
        <f t="shared" si="29"/>
        <v>3123750000</v>
      </c>
      <c r="AQ114" s="50">
        <f t="shared" si="26"/>
        <v>3123750000</v>
      </c>
      <c r="AR114" s="48" t="s">
        <v>244</v>
      </c>
      <c r="AS114" s="48" t="s">
        <v>245</v>
      </c>
      <c r="AT114" s="51" t="s">
        <v>246</v>
      </c>
      <c r="AU114" s="52" t="s">
        <v>247</v>
      </c>
      <c r="AV114" s="68" t="s">
        <v>372</v>
      </c>
      <c r="AW114" s="54" t="s">
        <v>248</v>
      </c>
      <c r="AX114" s="55" t="s">
        <v>249</v>
      </c>
      <c r="AY114" s="65" t="s">
        <v>244</v>
      </c>
      <c r="AZ114" s="65" t="s">
        <v>244</v>
      </c>
      <c r="BA114" s="71" t="s">
        <v>250</v>
      </c>
      <c r="BB114" s="72" t="s">
        <v>251</v>
      </c>
      <c r="BC114" s="72" t="s">
        <v>252</v>
      </c>
      <c r="BD114" s="72" t="s">
        <v>250</v>
      </c>
      <c r="BE114" s="72"/>
      <c r="BF114" s="72"/>
    </row>
    <row r="115" spans="1:58" ht="33.75" x14ac:dyDescent="0.2">
      <c r="A115" s="44" t="s">
        <v>348</v>
      </c>
      <c r="B115" s="45" t="s">
        <v>90</v>
      </c>
      <c r="C115" s="45" t="s">
        <v>78</v>
      </c>
      <c r="D115" s="45" t="s">
        <v>372</v>
      </c>
      <c r="E115" s="45"/>
      <c r="F115" s="45" t="s">
        <v>481</v>
      </c>
      <c r="G115" s="45" t="s">
        <v>374</v>
      </c>
      <c r="H115" s="45" t="s">
        <v>71</v>
      </c>
      <c r="I115" s="45">
        <v>1</v>
      </c>
      <c r="J115" s="75">
        <v>1600000</v>
      </c>
      <c r="K115" s="172">
        <f t="shared" si="17"/>
        <v>3.125E-2</v>
      </c>
      <c r="L115" s="166">
        <f>IF(H115="OTRO",(J115*1.05),VLOOKUP((I115&amp;H115),'ESCALAS Salarios'!$D$2:$F$30,3,0))</f>
        <v>1650000</v>
      </c>
      <c r="M115" s="45">
        <v>1</v>
      </c>
      <c r="N115" s="45" t="s">
        <v>485</v>
      </c>
      <c r="O115" s="59">
        <v>45327</v>
      </c>
      <c r="P115" s="58">
        <v>45634</v>
      </c>
      <c r="Q115" s="59">
        <f>VLOOKUP($A115,[6]Contratistas!$A$3:$R$117,10,0)</f>
        <v>45327</v>
      </c>
      <c r="R115" s="237">
        <f>VLOOKUP($A115,[6]Contratistas!$A$3:$R$117,11,0)</f>
        <v>45634</v>
      </c>
      <c r="S115" s="78">
        <f t="shared" si="18"/>
        <v>16885000</v>
      </c>
      <c r="T115" s="59"/>
      <c r="U115" s="58"/>
      <c r="V115" s="78">
        <f t="shared" si="33"/>
        <v>0</v>
      </c>
      <c r="W115" s="76">
        <f t="shared" si="20"/>
        <v>10</v>
      </c>
      <c r="X115" s="93">
        <f t="shared" si="21"/>
        <v>16885000</v>
      </c>
      <c r="Y115" s="80">
        <v>16000000</v>
      </c>
      <c r="Z115" s="171">
        <f t="shared" si="31"/>
        <v>5.5312500000000098E-2</v>
      </c>
      <c r="AA115" s="94"/>
      <c r="AB115" s="77"/>
      <c r="AC115" s="80"/>
      <c r="AD115" s="81" t="s">
        <v>243</v>
      </c>
      <c r="AE115" s="82" t="s">
        <v>378</v>
      </c>
      <c r="AF115" s="83" t="s">
        <v>361</v>
      </c>
      <c r="AG115" s="83"/>
      <c r="AH115" s="84" t="str">
        <f t="shared" si="27"/>
        <v>CON-105</v>
      </c>
      <c r="AI115" s="81">
        <v>80111600</v>
      </c>
      <c r="AJ115" s="34" t="s">
        <v>625</v>
      </c>
      <c r="AK115" s="47">
        <f t="shared" si="24"/>
        <v>45327</v>
      </c>
      <c r="AL115" s="47">
        <f t="shared" si="25"/>
        <v>45327</v>
      </c>
      <c r="AM115" s="233">
        <f t="shared" si="28"/>
        <v>10</v>
      </c>
      <c r="AN115" s="48" t="s">
        <v>241</v>
      </c>
      <c r="AO115" s="49" t="s">
        <v>242</v>
      </c>
      <c r="AP115" s="50">
        <f t="shared" si="29"/>
        <v>16885000</v>
      </c>
      <c r="AQ115" s="50">
        <f t="shared" si="26"/>
        <v>16885000</v>
      </c>
      <c r="AR115" s="48" t="s">
        <v>244</v>
      </c>
      <c r="AS115" s="48" t="s">
        <v>245</v>
      </c>
      <c r="AT115" s="51" t="s">
        <v>246</v>
      </c>
      <c r="AU115" s="52" t="s">
        <v>247</v>
      </c>
      <c r="AV115" s="53" t="s">
        <v>372</v>
      </c>
      <c r="AW115" s="54" t="s">
        <v>248</v>
      </c>
      <c r="AX115" s="55" t="s">
        <v>249</v>
      </c>
      <c r="AY115" s="48" t="s">
        <v>244</v>
      </c>
      <c r="AZ115" s="48" t="s">
        <v>244</v>
      </c>
      <c r="BA115" s="56" t="s">
        <v>250</v>
      </c>
      <c r="BB115" s="57" t="s">
        <v>251</v>
      </c>
      <c r="BC115" s="57" t="s">
        <v>252</v>
      </c>
      <c r="BD115" s="57" t="s">
        <v>250</v>
      </c>
      <c r="BE115" s="57"/>
      <c r="BF115" s="57"/>
    </row>
    <row r="116" spans="1:58" ht="45" x14ac:dyDescent="0.2">
      <c r="A116" s="44" t="s">
        <v>636</v>
      </c>
      <c r="B116" s="33" t="s">
        <v>90</v>
      </c>
      <c r="C116" s="45" t="s">
        <v>78</v>
      </c>
      <c r="D116" s="45" t="s">
        <v>372</v>
      </c>
      <c r="E116" s="45"/>
      <c r="F116" s="45" t="s">
        <v>480</v>
      </c>
      <c r="G116" s="45" t="s">
        <v>374</v>
      </c>
      <c r="H116" s="45" t="s">
        <v>473</v>
      </c>
      <c r="I116" s="45"/>
      <c r="J116" s="75">
        <v>717210</v>
      </c>
      <c r="K116" s="172">
        <f t="shared" si="17"/>
        <v>5.0000000000000044E-2</v>
      </c>
      <c r="L116" s="166">
        <f>IF(H116="OTRO",(J116*1.05),VLOOKUP((I116&amp;H116),'ESCALAS Salarios'!$D$2:$F$30,3,0))</f>
        <v>753070.5</v>
      </c>
      <c r="M116" s="45">
        <v>1</v>
      </c>
      <c r="N116" s="45" t="s">
        <v>485</v>
      </c>
      <c r="O116" s="59">
        <v>45327</v>
      </c>
      <c r="P116" s="58">
        <v>45634</v>
      </c>
      <c r="Q116" s="59">
        <f>VLOOKUP($A116,[6]Contratistas!$A$3:$R$117,10,0)</f>
        <v>45327</v>
      </c>
      <c r="R116" s="237">
        <f>VLOOKUP($A116,[6]Contratistas!$A$3:$R$117,11,0)</f>
        <v>45634</v>
      </c>
      <c r="S116" s="78">
        <f t="shared" si="18"/>
        <v>7706421.4499999993</v>
      </c>
      <c r="T116" s="59"/>
      <c r="U116" s="58"/>
      <c r="V116" s="78">
        <f t="shared" si="33"/>
        <v>0</v>
      </c>
      <c r="W116" s="76">
        <f t="shared" si="20"/>
        <v>10</v>
      </c>
      <c r="X116" s="93">
        <f t="shared" si="21"/>
        <v>7706421.4499999993</v>
      </c>
      <c r="Y116" s="80">
        <v>6454890</v>
      </c>
      <c r="Z116" s="171">
        <f t="shared" si="31"/>
        <v>0.19388888888888878</v>
      </c>
      <c r="AA116" s="94"/>
      <c r="AB116" s="77"/>
      <c r="AC116" s="80"/>
      <c r="AD116" s="81" t="s">
        <v>243</v>
      </c>
      <c r="AE116" s="82" t="s">
        <v>373</v>
      </c>
      <c r="AF116" s="83" t="s">
        <v>361</v>
      </c>
      <c r="AG116" s="83"/>
      <c r="AH116" s="84" t="str">
        <f t="shared" si="27"/>
        <v>CON-106</v>
      </c>
      <c r="AI116" s="81">
        <v>80111600</v>
      </c>
      <c r="AJ116" s="46" t="s">
        <v>626</v>
      </c>
      <c r="AK116" s="47">
        <f t="shared" si="24"/>
        <v>45327</v>
      </c>
      <c r="AL116" s="47">
        <f t="shared" si="25"/>
        <v>45327</v>
      </c>
      <c r="AM116" s="233">
        <f t="shared" si="28"/>
        <v>10</v>
      </c>
      <c r="AN116" s="48" t="s">
        <v>241</v>
      </c>
      <c r="AO116" s="49" t="s">
        <v>242</v>
      </c>
      <c r="AP116" s="50">
        <f t="shared" si="29"/>
        <v>7706421.4499999993</v>
      </c>
      <c r="AQ116" s="50">
        <f t="shared" si="26"/>
        <v>7706421.4499999993</v>
      </c>
      <c r="AR116" s="48" t="s">
        <v>244</v>
      </c>
      <c r="AS116" s="48" t="s">
        <v>245</v>
      </c>
      <c r="AT116" s="51" t="s">
        <v>246</v>
      </c>
      <c r="AU116" s="52" t="s">
        <v>247</v>
      </c>
      <c r="AV116" s="53" t="s">
        <v>372</v>
      </c>
      <c r="AW116" s="54" t="s">
        <v>248</v>
      </c>
      <c r="AX116" s="55" t="s">
        <v>249</v>
      </c>
      <c r="AY116" s="48" t="s">
        <v>244</v>
      </c>
      <c r="AZ116" s="48" t="s">
        <v>361</v>
      </c>
      <c r="BA116" s="56" t="s">
        <v>250</v>
      </c>
      <c r="BB116" s="57" t="s">
        <v>251</v>
      </c>
      <c r="BC116" s="57" t="s">
        <v>252</v>
      </c>
      <c r="BD116" s="57" t="s">
        <v>250</v>
      </c>
      <c r="BE116" s="57"/>
      <c r="BF116" s="57"/>
    </row>
    <row r="117" spans="1:58" ht="67.5" x14ac:dyDescent="0.2">
      <c r="A117" s="44" t="s">
        <v>637</v>
      </c>
      <c r="B117" s="45" t="s">
        <v>63</v>
      </c>
      <c r="C117" s="45" t="s">
        <v>25</v>
      </c>
      <c r="D117" s="45" t="s">
        <v>80</v>
      </c>
      <c r="E117" s="45"/>
      <c r="F117" s="45" t="s">
        <v>383</v>
      </c>
      <c r="G117" s="45" t="s">
        <v>374</v>
      </c>
      <c r="H117" s="45" t="s">
        <v>67</v>
      </c>
      <c r="I117" s="45">
        <v>6</v>
      </c>
      <c r="J117" s="75">
        <v>6000000</v>
      </c>
      <c r="K117" s="172">
        <f t="shared" si="17"/>
        <v>3.3333333333333437E-2</v>
      </c>
      <c r="L117" s="166">
        <f>IF(H117="OTRO",(J117*1.05),VLOOKUP((I117&amp;H117),'ESCALAS Salarios'!$D$2:$F$30,3,0))</f>
        <v>6200000</v>
      </c>
      <c r="M117" s="45">
        <v>1</v>
      </c>
      <c r="N117" s="45" t="s">
        <v>485</v>
      </c>
      <c r="O117" s="59">
        <v>45313</v>
      </c>
      <c r="P117" s="58">
        <v>45653</v>
      </c>
      <c r="Q117" s="59">
        <f>VLOOKUP($A117,[6]Contratistas!$A$3:$R$117,10,0)</f>
        <v>45313</v>
      </c>
      <c r="R117" s="237">
        <f>VLOOKUP($A117,[6]Contratistas!$A$3:$R$117,11,0)</f>
        <v>45653</v>
      </c>
      <c r="S117" s="78">
        <f t="shared" si="18"/>
        <v>70266666.666666672</v>
      </c>
      <c r="T117" s="59"/>
      <c r="U117" s="59"/>
      <c r="V117" s="78">
        <f t="shared" si="19"/>
        <v>0</v>
      </c>
      <c r="W117" s="76">
        <f t="shared" si="20"/>
        <v>11</v>
      </c>
      <c r="X117" s="93">
        <f t="shared" si="21"/>
        <v>70266666.666666672</v>
      </c>
      <c r="Y117" s="93">
        <v>47400000</v>
      </c>
      <c r="Z117" s="171">
        <f t="shared" si="31"/>
        <v>0.48241912798874842</v>
      </c>
      <c r="AA117" s="136">
        <v>53017352</v>
      </c>
      <c r="AB117" s="136" t="s">
        <v>461</v>
      </c>
      <c r="AC117" s="80">
        <f t="shared" si="23"/>
        <v>70266666.666666672</v>
      </c>
      <c r="AD117" s="81" t="s">
        <v>243</v>
      </c>
      <c r="AE117" s="82" t="s">
        <v>1</v>
      </c>
      <c r="AF117" s="83" t="s">
        <v>361</v>
      </c>
      <c r="AG117" s="83"/>
      <c r="AH117" s="84" t="str">
        <f t="shared" si="27"/>
        <v>CON-107</v>
      </c>
      <c r="AI117" s="81">
        <v>80111600</v>
      </c>
      <c r="AJ117" s="46" t="s">
        <v>389</v>
      </c>
      <c r="AK117" s="47">
        <f t="shared" si="24"/>
        <v>45313</v>
      </c>
      <c r="AL117" s="47">
        <f t="shared" si="25"/>
        <v>45313</v>
      </c>
      <c r="AM117" s="233">
        <f t="shared" si="28"/>
        <v>11</v>
      </c>
      <c r="AN117" s="48" t="s">
        <v>241</v>
      </c>
      <c r="AO117" s="49" t="s">
        <v>242</v>
      </c>
      <c r="AP117" s="50">
        <f t="shared" si="29"/>
        <v>70266666.666666672</v>
      </c>
      <c r="AQ117" s="50">
        <f t="shared" si="26"/>
        <v>70266666.666666672</v>
      </c>
      <c r="AR117" s="48" t="s">
        <v>244</v>
      </c>
      <c r="AS117" s="48" t="s">
        <v>245</v>
      </c>
      <c r="AT117" s="51" t="s">
        <v>246</v>
      </c>
      <c r="AU117" s="52" t="s">
        <v>247</v>
      </c>
      <c r="AV117" s="53" t="str">
        <f t="shared" ref="AV117:AV120" si="34">D117</f>
        <v>DESPACHO VAD</v>
      </c>
      <c r="AW117" s="54" t="s">
        <v>248</v>
      </c>
      <c r="AX117" s="55" t="s">
        <v>249</v>
      </c>
      <c r="AY117" s="48" t="s">
        <v>244</v>
      </c>
      <c r="AZ117" s="48" t="s">
        <v>244</v>
      </c>
      <c r="BA117" s="56" t="s">
        <v>250</v>
      </c>
      <c r="BB117" s="57" t="s">
        <v>251</v>
      </c>
      <c r="BC117" s="57" t="s">
        <v>252</v>
      </c>
      <c r="BD117" s="57" t="s">
        <v>250</v>
      </c>
      <c r="BE117" s="57"/>
      <c r="BF117" s="57"/>
    </row>
    <row r="118" spans="1:58" ht="56.25" x14ac:dyDescent="0.2">
      <c r="A118" s="44" t="s">
        <v>638</v>
      </c>
      <c r="B118" s="33" t="s">
        <v>63</v>
      </c>
      <c r="C118" s="33" t="s">
        <v>78</v>
      </c>
      <c r="D118" s="33" t="s">
        <v>23</v>
      </c>
      <c r="E118" s="33"/>
      <c r="F118" s="45" t="s">
        <v>383</v>
      </c>
      <c r="G118" s="45" t="s">
        <v>374</v>
      </c>
      <c r="H118" s="45" t="s">
        <v>67</v>
      </c>
      <c r="I118" s="45">
        <v>1</v>
      </c>
      <c r="J118" s="95">
        <v>4550000</v>
      </c>
      <c r="K118" s="172">
        <f t="shared" si="17"/>
        <v>3.2967032967033072E-2</v>
      </c>
      <c r="L118" s="166">
        <f>IF(H118="OTRO",(J118*1.05),VLOOKUP((I118&amp;H118),'ESCALAS Salarios'!$D$2:$F$30,3,0))</f>
        <v>4700000</v>
      </c>
      <c r="M118" s="45">
        <v>1</v>
      </c>
      <c r="N118" s="45" t="s">
        <v>485</v>
      </c>
      <c r="O118" s="59">
        <v>45327</v>
      </c>
      <c r="P118" s="58">
        <v>45626</v>
      </c>
      <c r="Q118" s="59">
        <f>VLOOKUP($A118,[6]Contratistas!$A$3:$R$117,10,0)</f>
        <v>45327</v>
      </c>
      <c r="R118" s="237">
        <f>VLOOKUP($A118,[6]Contratistas!$A$3:$R$117,11,0)</f>
        <v>45626</v>
      </c>
      <c r="S118" s="78">
        <f t="shared" si="18"/>
        <v>46843333.333333336</v>
      </c>
      <c r="T118" s="59"/>
      <c r="U118" s="59"/>
      <c r="V118" s="78">
        <f t="shared" si="19"/>
        <v>0</v>
      </c>
      <c r="W118" s="76">
        <f t="shared" si="20"/>
        <v>10</v>
      </c>
      <c r="X118" s="93">
        <f t="shared" si="21"/>
        <v>46843333.333333336</v>
      </c>
      <c r="Y118" s="100">
        <v>31850000</v>
      </c>
      <c r="Z118" s="171">
        <f t="shared" si="31"/>
        <v>0.47074829931972806</v>
      </c>
      <c r="AA118" s="136">
        <v>1026260280</v>
      </c>
      <c r="AB118" s="136" t="s">
        <v>462</v>
      </c>
      <c r="AC118" s="80">
        <f t="shared" si="23"/>
        <v>46843333.333333336</v>
      </c>
      <c r="AD118" s="81" t="s">
        <v>243</v>
      </c>
      <c r="AE118" s="82" t="s">
        <v>373</v>
      </c>
      <c r="AF118" s="83" t="s">
        <v>361</v>
      </c>
      <c r="AG118" s="83"/>
      <c r="AH118" s="84" t="str">
        <f t="shared" si="27"/>
        <v>CON-108</v>
      </c>
      <c r="AI118" s="87">
        <v>80111600</v>
      </c>
      <c r="AJ118" s="34" t="s">
        <v>392</v>
      </c>
      <c r="AK118" s="47">
        <f t="shared" si="24"/>
        <v>45327</v>
      </c>
      <c r="AL118" s="47">
        <f t="shared" si="25"/>
        <v>45327</v>
      </c>
      <c r="AM118" s="233">
        <f t="shared" si="28"/>
        <v>10</v>
      </c>
      <c r="AN118" s="63" t="s">
        <v>241</v>
      </c>
      <c r="AO118" s="49" t="s">
        <v>242</v>
      </c>
      <c r="AP118" s="50">
        <f t="shared" si="29"/>
        <v>46843333.333333336</v>
      </c>
      <c r="AQ118" s="50">
        <f t="shared" si="26"/>
        <v>46843333.333333336</v>
      </c>
      <c r="AR118" s="48" t="s">
        <v>244</v>
      </c>
      <c r="AS118" s="48" t="s">
        <v>245</v>
      </c>
      <c r="AT118" s="51" t="s">
        <v>246</v>
      </c>
      <c r="AU118" s="52" t="s">
        <v>247</v>
      </c>
      <c r="AV118" s="68" t="str">
        <f t="shared" si="34"/>
        <v>CENTRO DE EGRESADOS</v>
      </c>
      <c r="AW118" s="54" t="s">
        <v>248</v>
      </c>
      <c r="AX118" s="55" t="s">
        <v>249</v>
      </c>
      <c r="AY118" s="65" t="s">
        <v>244</v>
      </c>
      <c r="AZ118" s="65" t="s">
        <v>244</v>
      </c>
      <c r="BA118" s="71" t="s">
        <v>250</v>
      </c>
      <c r="BB118" s="72" t="s">
        <v>251</v>
      </c>
      <c r="BC118" s="72" t="s">
        <v>252</v>
      </c>
      <c r="BD118" s="72" t="s">
        <v>250</v>
      </c>
      <c r="BE118" s="71"/>
      <c r="BF118" s="72"/>
    </row>
    <row r="119" spans="1:58" ht="33.75" x14ac:dyDescent="0.2">
      <c r="A119" s="44" t="s">
        <v>624</v>
      </c>
      <c r="B119" s="45" t="s">
        <v>63</v>
      </c>
      <c r="C119" s="45" t="s">
        <v>25</v>
      </c>
      <c r="D119" s="45" t="s">
        <v>38</v>
      </c>
      <c r="E119" s="45" t="s">
        <v>84</v>
      </c>
      <c r="F119" s="45" t="s">
        <v>39</v>
      </c>
      <c r="G119" s="45" t="s">
        <v>75</v>
      </c>
      <c r="H119" s="45" t="s">
        <v>71</v>
      </c>
      <c r="I119" s="45">
        <v>3</v>
      </c>
      <c r="J119" s="166">
        <v>1712528.2124999999</v>
      </c>
      <c r="K119" s="172">
        <f t="shared" si="17"/>
        <v>8.0274173877296073E-2</v>
      </c>
      <c r="L119" s="166">
        <f>IF(H119="OTRO",(J119*1.05),VLOOKUP((I119&amp;H119),'ESCALAS Salarios'!$D$2:$F$30,3,0))</f>
        <v>1850000</v>
      </c>
      <c r="M119" s="45">
        <v>1</v>
      </c>
      <c r="N119" s="45" t="s">
        <v>485</v>
      </c>
      <c r="O119" s="59">
        <v>45335</v>
      </c>
      <c r="P119" s="58">
        <v>45449</v>
      </c>
      <c r="Q119" s="59">
        <f>VLOOKUP($A119,[6]Contratistas!$A$3:$R$117,10,0)</f>
        <v>45335</v>
      </c>
      <c r="R119" s="237">
        <f>VLOOKUP($A119,[6]Contratistas!$A$3:$R$117,11,0)</f>
        <v>45449</v>
      </c>
      <c r="S119" s="78">
        <f t="shared" si="18"/>
        <v>7030000</v>
      </c>
      <c r="T119" s="59">
        <v>45517</v>
      </c>
      <c r="U119" s="58">
        <v>45624</v>
      </c>
      <c r="V119" s="78">
        <f t="shared" si="19"/>
        <v>6598333.333333334</v>
      </c>
      <c r="W119" s="76">
        <f t="shared" si="20"/>
        <v>7</v>
      </c>
      <c r="X119" s="93">
        <f t="shared" si="21"/>
        <v>13628333.333333334</v>
      </c>
      <c r="Y119" s="93">
        <f>6964281*2.05</f>
        <v>14276776.049999999</v>
      </c>
      <c r="Z119" s="171">
        <f t="shared" ref="Z119:Z120" si="35">IF(Y119="",1,IF(Y119=0,1,((X119/Y119)-1)))</f>
        <v>-4.5419408022910446E-2</v>
      </c>
      <c r="AA119" s="93"/>
      <c r="AB119" s="77"/>
      <c r="AC119" s="80">
        <f t="shared" si="23"/>
        <v>13628333.333333334</v>
      </c>
      <c r="AD119" s="81" t="s">
        <v>243</v>
      </c>
      <c r="AE119" s="82" t="s">
        <v>15</v>
      </c>
      <c r="AF119" s="83" t="s">
        <v>361</v>
      </c>
      <c r="AG119" s="83"/>
      <c r="AH119" s="84" t="str">
        <f t="shared" si="27"/>
        <v>CON-109</v>
      </c>
      <c r="AI119" s="178">
        <v>80111600</v>
      </c>
      <c r="AJ119" s="179" t="s">
        <v>465</v>
      </c>
      <c r="AK119" s="47">
        <f t="shared" si="24"/>
        <v>45335</v>
      </c>
      <c r="AL119" s="47">
        <f t="shared" si="25"/>
        <v>45335</v>
      </c>
      <c r="AM119" s="233">
        <f t="shared" si="28"/>
        <v>7</v>
      </c>
      <c r="AN119" s="48" t="s">
        <v>241</v>
      </c>
      <c r="AO119" s="49" t="s">
        <v>242</v>
      </c>
      <c r="AP119" s="50">
        <f t="shared" si="29"/>
        <v>13628333.333333334</v>
      </c>
      <c r="AQ119" s="50">
        <f t="shared" si="26"/>
        <v>13628333.333333334</v>
      </c>
      <c r="AR119" s="48" t="s">
        <v>244</v>
      </c>
      <c r="AS119" s="48" t="s">
        <v>245</v>
      </c>
      <c r="AT119" s="51" t="s">
        <v>246</v>
      </c>
      <c r="AU119" s="52" t="s">
        <v>247</v>
      </c>
      <c r="AV119" s="53" t="str">
        <f t="shared" si="34"/>
        <v>SUBDIRECCIÓN DE BIENESTAR UNIVERSITARIO</v>
      </c>
      <c r="AW119" s="54" t="s">
        <v>248</v>
      </c>
      <c r="AX119" s="55" t="s">
        <v>249</v>
      </c>
      <c r="AY119" s="48" t="s">
        <v>244</v>
      </c>
      <c r="AZ119" s="48" t="s">
        <v>244</v>
      </c>
      <c r="BA119" s="56" t="s">
        <v>250</v>
      </c>
      <c r="BB119" s="57" t="s">
        <v>251</v>
      </c>
      <c r="BC119" s="57" t="s">
        <v>252</v>
      </c>
      <c r="BD119" s="57" t="s">
        <v>250</v>
      </c>
      <c r="BE119" s="57"/>
      <c r="BF119" s="57"/>
    </row>
    <row r="120" spans="1:58" ht="33.75" x14ac:dyDescent="0.2">
      <c r="A120" s="44" t="s">
        <v>469</v>
      </c>
      <c r="B120" s="45" t="s">
        <v>63</v>
      </c>
      <c r="C120" s="45" t="s">
        <v>25</v>
      </c>
      <c r="D120" s="45" t="s">
        <v>38</v>
      </c>
      <c r="E120" s="45" t="s">
        <v>86</v>
      </c>
      <c r="F120" s="45" t="s">
        <v>40</v>
      </c>
      <c r="G120" s="45" t="s">
        <v>75</v>
      </c>
      <c r="H120" s="45" t="s">
        <v>71</v>
      </c>
      <c r="I120" s="45">
        <v>3</v>
      </c>
      <c r="J120" s="166">
        <v>1712528.2124999999</v>
      </c>
      <c r="K120" s="172">
        <f t="shared" si="17"/>
        <v>8.0274173877296073E-2</v>
      </c>
      <c r="L120" s="166">
        <f>IF(H120="OTRO",(J120*1.05),VLOOKUP((I120&amp;H120),'ESCALAS Salarios'!$D$2:$F$30,3,0))</f>
        <v>1850000</v>
      </c>
      <c r="M120" s="45">
        <v>1</v>
      </c>
      <c r="N120" s="45" t="s">
        <v>485</v>
      </c>
      <c r="O120" s="59">
        <v>45335</v>
      </c>
      <c r="P120" s="58">
        <v>45449</v>
      </c>
      <c r="Q120" s="59">
        <f>VLOOKUP($A120,[6]Contratistas!$A$3:$R$117,10,0)</f>
        <v>45335</v>
      </c>
      <c r="R120" s="237">
        <f>VLOOKUP($A120,[6]Contratistas!$A$3:$R$117,11,0)</f>
        <v>45449</v>
      </c>
      <c r="S120" s="78">
        <f t="shared" si="18"/>
        <v>7030000</v>
      </c>
      <c r="T120" s="59">
        <v>45517</v>
      </c>
      <c r="U120" s="58">
        <v>45624</v>
      </c>
      <c r="V120" s="78">
        <f t="shared" si="19"/>
        <v>6598333.333333334</v>
      </c>
      <c r="W120" s="76">
        <f t="shared" si="20"/>
        <v>7</v>
      </c>
      <c r="X120" s="93">
        <f t="shared" si="21"/>
        <v>13628333.333333334</v>
      </c>
      <c r="Y120" s="93">
        <f>6964281*2.05</f>
        <v>14276776.049999999</v>
      </c>
      <c r="Z120" s="171">
        <f t="shared" si="35"/>
        <v>-4.5419408022910446E-2</v>
      </c>
      <c r="AA120" s="93"/>
      <c r="AB120" s="77"/>
      <c r="AC120" s="80">
        <f t="shared" si="23"/>
        <v>13628333.333333334</v>
      </c>
      <c r="AD120" s="81" t="s">
        <v>243</v>
      </c>
      <c r="AE120" s="82" t="s">
        <v>15</v>
      </c>
      <c r="AF120" s="83" t="s">
        <v>361</v>
      </c>
      <c r="AG120" s="83"/>
      <c r="AH120" s="84" t="str">
        <f t="shared" si="27"/>
        <v>CON-110</v>
      </c>
      <c r="AI120" s="178">
        <v>80111600</v>
      </c>
      <c r="AJ120" s="179" t="s">
        <v>497</v>
      </c>
      <c r="AK120" s="47">
        <f t="shared" si="24"/>
        <v>45335</v>
      </c>
      <c r="AL120" s="47">
        <f t="shared" si="25"/>
        <v>45335</v>
      </c>
      <c r="AM120" s="233">
        <f t="shared" si="28"/>
        <v>7</v>
      </c>
      <c r="AN120" s="48" t="s">
        <v>241</v>
      </c>
      <c r="AO120" s="49" t="s">
        <v>242</v>
      </c>
      <c r="AP120" s="50">
        <f t="shared" si="29"/>
        <v>13628333.333333334</v>
      </c>
      <c r="AQ120" s="50">
        <f t="shared" si="26"/>
        <v>13628333.333333334</v>
      </c>
      <c r="AR120" s="48" t="s">
        <v>244</v>
      </c>
      <c r="AS120" s="48" t="s">
        <v>245</v>
      </c>
      <c r="AT120" s="51" t="s">
        <v>246</v>
      </c>
      <c r="AU120" s="52" t="s">
        <v>247</v>
      </c>
      <c r="AV120" s="53" t="str">
        <f t="shared" si="34"/>
        <v>SUBDIRECCIÓN DE BIENESTAR UNIVERSITARIO</v>
      </c>
      <c r="AW120" s="54" t="s">
        <v>248</v>
      </c>
      <c r="AX120" s="55" t="s">
        <v>249</v>
      </c>
      <c r="AY120" s="48" t="s">
        <v>244</v>
      </c>
      <c r="AZ120" s="48" t="s">
        <v>244</v>
      </c>
      <c r="BA120" s="56" t="s">
        <v>250</v>
      </c>
      <c r="BB120" s="57" t="s">
        <v>251</v>
      </c>
      <c r="BC120" s="57" t="s">
        <v>252</v>
      </c>
      <c r="BD120" s="57" t="s">
        <v>250</v>
      </c>
      <c r="BE120" s="57"/>
      <c r="BF120" s="57"/>
    </row>
    <row r="121" spans="1:58" ht="56.25" x14ac:dyDescent="0.2">
      <c r="A121" s="44" t="s">
        <v>639</v>
      </c>
      <c r="B121" s="33" t="s">
        <v>63</v>
      </c>
      <c r="C121" s="33" t="s">
        <v>65</v>
      </c>
      <c r="D121" s="33" t="s">
        <v>68</v>
      </c>
      <c r="E121" s="33"/>
      <c r="F121" s="45" t="s">
        <v>383</v>
      </c>
      <c r="G121" s="45" t="s">
        <v>374</v>
      </c>
      <c r="H121" s="45" t="s">
        <v>69</v>
      </c>
      <c r="I121" s="45">
        <v>4</v>
      </c>
      <c r="J121" s="75">
        <v>3700000</v>
      </c>
      <c r="K121" s="172">
        <f t="shared" si="17"/>
        <v>5.4054054054053946E-2</v>
      </c>
      <c r="L121" s="166">
        <f>IF(H121="OTRO",(J121*1.05),VLOOKUP((I121&amp;H121),'ESCALAS Salarios'!$D$2:$F$30,3,0))</f>
        <v>3900000</v>
      </c>
      <c r="M121" s="45">
        <v>1</v>
      </c>
      <c r="N121" s="45" t="s">
        <v>485</v>
      </c>
      <c r="O121" s="59">
        <v>45327</v>
      </c>
      <c r="P121" s="58">
        <v>45639</v>
      </c>
      <c r="Q121" s="59">
        <f>VLOOKUP($A121,[6]Contratistas!$A$3:$R$117,10,0)</f>
        <v>45327</v>
      </c>
      <c r="R121" s="237">
        <f>VLOOKUP($A121,[6]Contratistas!$A$3:$R$117,11,0)</f>
        <v>45639</v>
      </c>
      <c r="S121" s="78">
        <f t="shared" si="18"/>
        <v>40560000</v>
      </c>
      <c r="T121" s="86"/>
      <c r="U121" s="86"/>
      <c r="V121" s="78">
        <f t="shared" si="19"/>
        <v>0</v>
      </c>
      <c r="W121" s="76">
        <f t="shared" si="20"/>
        <v>10</v>
      </c>
      <c r="X121" s="93">
        <f t="shared" si="21"/>
        <v>40560000</v>
      </c>
      <c r="Y121" s="100">
        <v>21000000</v>
      </c>
      <c r="Z121" s="171">
        <f t="shared" ref="Z121:Z124" si="36">IF(Y121="",1,((X121/Y121)-1))</f>
        <v>0.93142857142857149</v>
      </c>
      <c r="AA121" s="100"/>
      <c r="AB121" s="96" t="s">
        <v>488</v>
      </c>
      <c r="AC121" s="80">
        <f t="shared" si="23"/>
        <v>40560000</v>
      </c>
      <c r="AD121" s="87" t="s">
        <v>243</v>
      </c>
      <c r="AE121" s="82" t="s">
        <v>1</v>
      </c>
      <c r="AF121" s="88" t="s">
        <v>361</v>
      </c>
      <c r="AG121" s="83"/>
      <c r="AH121" s="84" t="str">
        <f t="shared" si="27"/>
        <v>CON-111</v>
      </c>
      <c r="AI121" s="87">
        <v>80111600</v>
      </c>
      <c r="AJ121" s="34" t="s">
        <v>394</v>
      </c>
      <c r="AK121" s="47">
        <f t="shared" si="24"/>
        <v>45327</v>
      </c>
      <c r="AL121" s="47">
        <f t="shared" si="25"/>
        <v>45327</v>
      </c>
      <c r="AM121" s="233">
        <f t="shared" si="28"/>
        <v>10</v>
      </c>
      <c r="AN121" s="63" t="s">
        <v>241</v>
      </c>
      <c r="AO121" s="49" t="s">
        <v>242</v>
      </c>
      <c r="AP121" s="50">
        <f t="shared" si="29"/>
        <v>40560000</v>
      </c>
      <c r="AQ121" s="50">
        <f t="shared" si="26"/>
        <v>40560000</v>
      </c>
      <c r="AR121" s="48" t="s">
        <v>244</v>
      </c>
      <c r="AS121" s="48" t="s">
        <v>245</v>
      </c>
      <c r="AT121" s="51" t="s">
        <v>246</v>
      </c>
      <c r="AU121" s="52" t="s">
        <v>247</v>
      </c>
      <c r="AV121" s="68" t="s">
        <v>68</v>
      </c>
      <c r="AW121" s="54" t="s">
        <v>248</v>
      </c>
      <c r="AX121" s="55" t="s">
        <v>249</v>
      </c>
      <c r="AY121" s="65" t="s">
        <v>244</v>
      </c>
      <c r="AZ121" s="65" t="s">
        <v>244</v>
      </c>
      <c r="BA121" s="71" t="s">
        <v>250</v>
      </c>
      <c r="BB121" s="72" t="s">
        <v>251</v>
      </c>
      <c r="BC121" s="72" t="s">
        <v>252</v>
      </c>
      <c r="BD121" s="72" t="s">
        <v>250</v>
      </c>
      <c r="BE121" s="72"/>
      <c r="BF121" s="72"/>
    </row>
    <row r="122" spans="1:58" ht="56.25" x14ac:dyDescent="0.2">
      <c r="A122" s="44" t="s">
        <v>640</v>
      </c>
      <c r="B122" s="33" t="s">
        <v>63</v>
      </c>
      <c r="C122" s="33" t="s">
        <v>78</v>
      </c>
      <c r="D122" s="33" t="s">
        <v>371</v>
      </c>
      <c r="E122" s="33"/>
      <c r="F122" s="45" t="s">
        <v>383</v>
      </c>
      <c r="G122" s="45" t="s">
        <v>397</v>
      </c>
      <c r="H122" s="45" t="s">
        <v>69</v>
      </c>
      <c r="I122" s="45">
        <v>4</v>
      </c>
      <c r="J122" s="75">
        <v>3700000</v>
      </c>
      <c r="K122" s="172">
        <f t="shared" si="17"/>
        <v>5.4054054054053946E-2</v>
      </c>
      <c r="L122" s="166">
        <f>IF(H122="OTRO",(J122*1.05),VLOOKUP((I122&amp;H122),'ESCALAS Salarios'!$D$2:$F$30,3,0))</f>
        <v>3900000</v>
      </c>
      <c r="M122" s="45">
        <v>1</v>
      </c>
      <c r="N122" s="45" t="s">
        <v>485</v>
      </c>
      <c r="O122" s="59">
        <v>45327</v>
      </c>
      <c r="P122" s="58">
        <v>45626</v>
      </c>
      <c r="Q122" s="59">
        <f>VLOOKUP($A122,[6]Contratistas!$A$3:$R$117,10,0)</f>
        <v>45327</v>
      </c>
      <c r="R122" s="237">
        <f>VLOOKUP($A122,[6]Contratistas!$A$3:$R$117,11,0)</f>
        <v>45626</v>
      </c>
      <c r="S122" s="78">
        <f t="shared" si="18"/>
        <v>38870000</v>
      </c>
      <c r="T122" s="86"/>
      <c r="U122" s="86"/>
      <c r="V122" s="78">
        <f t="shared" si="19"/>
        <v>0</v>
      </c>
      <c r="W122" s="76">
        <f t="shared" si="20"/>
        <v>10</v>
      </c>
      <c r="X122" s="93">
        <f t="shared" si="21"/>
        <v>38870000</v>
      </c>
      <c r="Y122" s="100">
        <v>21000000</v>
      </c>
      <c r="Z122" s="171">
        <f t="shared" si="36"/>
        <v>0.8509523809523809</v>
      </c>
      <c r="AA122" s="100"/>
      <c r="AB122" s="96"/>
      <c r="AC122" s="80">
        <f t="shared" si="23"/>
        <v>38870000</v>
      </c>
      <c r="AD122" s="87" t="s">
        <v>243</v>
      </c>
      <c r="AE122" s="82" t="s">
        <v>396</v>
      </c>
      <c r="AF122" s="88" t="s">
        <v>361</v>
      </c>
      <c r="AG122" s="83"/>
      <c r="AH122" s="84" t="str">
        <f t="shared" si="27"/>
        <v>CON-112</v>
      </c>
      <c r="AI122" s="87">
        <v>80111600</v>
      </c>
      <c r="AJ122" s="34" t="s">
        <v>395</v>
      </c>
      <c r="AK122" s="47">
        <f t="shared" si="24"/>
        <v>45327</v>
      </c>
      <c r="AL122" s="47">
        <f t="shared" si="25"/>
        <v>45327</v>
      </c>
      <c r="AM122" s="233">
        <f t="shared" si="28"/>
        <v>10</v>
      </c>
      <c r="AN122" s="63" t="s">
        <v>241</v>
      </c>
      <c r="AO122" s="49" t="s">
        <v>242</v>
      </c>
      <c r="AP122" s="50">
        <f t="shared" si="29"/>
        <v>38870000</v>
      </c>
      <c r="AQ122" s="50">
        <f t="shared" si="26"/>
        <v>38870000</v>
      </c>
      <c r="AR122" s="48" t="s">
        <v>244</v>
      </c>
      <c r="AS122" s="48" t="s">
        <v>245</v>
      </c>
      <c r="AT122" s="51" t="s">
        <v>246</v>
      </c>
      <c r="AU122" s="52" t="s">
        <v>247</v>
      </c>
      <c r="AV122" s="68" t="s">
        <v>371</v>
      </c>
      <c r="AW122" s="54" t="s">
        <v>248</v>
      </c>
      <c r="AX122" s="55" t="s">
        <v>249</v>
      </c>
      <c r="AY122" s="65" t="s">
        <v>244</v>
      </c>
      <c r="AZ122" s="65" t="s">
        <v>244</v>
      </c>
      <c r="BA122" s="71" t="s">
        <v>250</v>
      </c>
      <c r="BB122" s="72" t="s">
        <v>251</v>
      </c>
      <c r="BC122" s="72" t="s">
        <v>252</v>
      </c>
      <c r="BD122" s="72" t="s">
        <v>250</v>
      </c>
      <c r="BE122" s="72"/>
      <c r="BF122" s="72"/>
    </row>
    <row r="123" spans="1:58" ht="56.25" x14ac:dyDescent="0.2">
      <c r="A123" s="44" t="s">
        <v>470</v>
      </c>
      <c r="B123" s="45" t="s">
        <v>63</v>
      </c>
      <c r="C123" s="45" t="s">
        <v>25</v>
      </c>
      <c r="D123" s="45" t="s">
        <v>38</v>
      </c>
      <c r="E123" s="45" t="s">
        <v>84</v>
      </c>
      <c r="F123" s="45" t="s">
        <v>39</v>
      </c>
      <c r="G123" s="45" t="s">
        <v>75</v>
      </c>
      <c r="H123" s="45" t="s">
        <v>71</v>
      </c>
      <c r="I123" s="45">
        <v>3</v>
      </c>
      <c r="J123" s="166">
        <v>1750000</v>
      </c>
      <c r="K123" s="172">
        <f t="shared" si="17"/>
        <v>5.7142857142857162E-2</v>
      </c>
      <c r="L123" s="166">
        <f>IF(H123="OTRO",(J123*1.05),VLOOKUP((I123&amp;H123),'ESCALAS Salarios'!$D$2:$F$30,3,0))</f>
        <v>1850000</v>
      </c>
      <c r="M123" s="45">
        <v>1</v>
      </c>
      <c r="N123" s="45" t="s">
        <v>485</v>
      </c>
      <c r="O123" s="59">
        <v>45335</v>
      </c>
      <c r="P123" s="58">
        <v>45449</v>
      </c>
      <c r="Q123" s="59">
        <f>VLOOKUP($A123,[6]Contratistas!$A$3:$R$117,10,0)</f>
        <v>45335</v>
      </c>
      <c r="R123" s="237">
        <f>VLOOKUP($A123,[6]Contratistas!$A$3:$R$117,11,0)</f>
        <v>45449</v>
      </c>
      <c r="S123" s="78">
        <f t="shared" si="18"/>
        <v>7030000</v>
      </c>
      <c r="T123" s="59">
        <v>45517</v>
      </c>
      <c r="U123" s="58">
        <v>45624</v>
      </c>
      <c r="V123" s="78">
        <f t="shared" si="19"/>
        <v>6598333.333333334</v>
      </c>
      <c r="W123" s="76">
        <f t="shared" si="20"/>
        <v>7</v>
      </c>
      <c r="X123" s="93">
        <f t="shared" si="21"/>
        <v>13628333.333333334</v>
      </c>
      <c r="Y123" s="93">
        <f>6964281*2.05</f>
        <v>14276776.049999999</v>
      </c>
      <c r="Z123" s="171">
        <f>IF(Y123="",1,IF(Y123=0,1,((X123/Y123)-1)))</f>
        <v>-4.5419408022910446E-2</v>
      </c>
      <c r="AA123" s="138"/>
      <c r="AB123" s="138"/>
      <c r="AC123" s="80">
        <f t="shared" si="23"/>
        <v>13628333.333333334</v>
      </c>
      <c r="AD123" s="81" t="s">
        <v>243</v>
      </c>
      <c r="AE123" s="82" t="s">
        <v>15</v>
      </c>
      <c r="AF123" s="83" t="s">
        <v>361</v>
      </c>
      <c r="AG123" s="83"/>
      <c r="AH123" s="84" t="str">
        <f t="shared" si="27"/>
        <v>CON-113</v>
      </c>
      <c r="AI123" s="180">
        <v>80111600</v>
      </c>
      <c r="AJ123" s="181" t="s">
        <v>466</v>
      </c>
      <c r="AK123" s="47">
        <f t="shared" si="24"/>
        <v>45335</v>
      </c>
      <c r="AL123" s="47">
        <f t="shared" si="25"/>
        <v>45335</v>
      </c>
      <c r="AM123" s="233">
        <f t="shared" si="28"/>
        <v>7</v>
      </c>
      <c r="AN123" s="48" t="s">
        <v>241</v>
      </c>
      <c r="AO123" s="49" t="s">
        <v>242</v>
      </c>
      <c r="AP123" s="50">
        <f t="shared" si="29"/>
        <v>13628333.333333334</v>
      </c>
      <c r="AQ123" s="50">
        <f t="shared" si="26"/>
        <v>13628333.333333334</v>
      </c>
      <c r="AR123" s="48" t="s">
        <v>244</v>
      </c>
      <c r="AS123" s="48" t="s">
        <v>245</v>
      </c>
      <c r="AT123" s="51" t="s">
        <v>246</v>
      </c>
      <c r="AU123" s="52" t="s">
        <v>247</v>
      </c>
      <c r="AV123" s="53" t="s">
        <v>38</v>
      </c>
      <c r="AW123" s="54" t="s">
        <v>248</v>
      </c>
      <c r="AX123" s="55" t="s">
        <v>249</v>
      </c>
      <c r="AY123" s="48" t="s">
        <v>244</v>
      </c>
      <c r="AZ123" s="48" t="s">
        <v>244</v>
      </c>
      <c r="BA123" s="56" t="s">
        <v>250</v>
      </c>
      <c r="BB123" s="57" t="s">
        <v>251</v>
      </c>
      <c r="BC123" s="57" t="s">
        <v>252</v>
      </c>
      <c r="BD123" s="57" t="s">
        <v>250</v>
      </c>
      <c r="BE123" s="57"/>
      <c r="BF123" s="57"/>
    </row>
    <row r="124" spans="1:58" s="146" customFormat="1" ht="42" customHeight="1" x14ac:dyDescent="0.2">
      <c r="A124" s="44" t="s">
        <v>641</v>
      </c>
      <c r="B124" s="45" t="s">
        <v>63</v>
      </c>
      <c r="C124" s="45" t="s">
        <v>78</v>
      </c>
      <c r="D124" s="45" t="s">
        <v>23</v>
      </c>
      <c r="E124" s="45"/>
      <c r="F124" s="45"/>
      <c r="G124" s="45" t="s">
        <v>72</v>
      </c>
      <c r="H124" s="45" t="s">
        <v>473</v>
      </c>
      <c r="I124" s="45">
        <v>1</v>
      </c>
      <c r="J124" s="95">
        <v>1430000</v>
      </c>
      <c r="K124" s="172">
        <f t="shared" si="17"/>
        <v>5.0000000000000044E-2</v>
      </c>
      <c r="L124" s="166">
        <f>IF(H124="OTRO",(J124*1.05),VLOOKUP((I124&amp;H124),'ESCALAS Salarios'!$D$2:$F$30,3,0))</f>
        <v>1501500</v>
      </c>
      <c r="M124" s="45">
        <v>1</v>
      </c>
      <c r="N124" s="45" t="s">
        <v>485</v>
      </c>
      <c r="O124" s="59">
        <v>45327</v>
      </c>
      <c r="P124" s="141">
        <v>45648</v>
      </c>
      <c r="Q124" s="59">
        <f>VLOOKUP($A124,[6]Contratistas!$A$3:$R$117,10,0)</f>
        <v>45327</v>
      </c>
      <c r="R124" s="240">
        <f>VLOOKUP($A124,[6]Contratistas!$A$3:$R$117,11,0)</f>
        <v>45648</v>
      </c>
      <c r="S124" s="78">
        <f t="shared" si="18"/>
        <v>16066049.999999998</v>
      </c>
      <c r="T124" s="144"/>
      <c r="U124" s="145"/>
      <c r="V124" s="78">
        <f t="shared" si="19"/>
        <v>0</v>
      </c>
      <c r="W124" s="76">
        <f t="shared" si="20"/>
        <v>11</v>
      </c>
      <c r="X124" s="93">
        <f t="shared" si="21"/>
        <v>16066049.999999998</v>
      </c>
      <c r="Y124" s="100">
        <v>1430000</v>
      </c>
      <c r="Z124" s="171">
        <f t="shared" si="36"/>
        <v>10.234999999999999</v>
      </c>
      <c r="AA124" s="136"/>
      <c r="AB124" s="136"/>
      <c r="AC124" s="80">
        <f t="shared" si="23"/>
        <v>16066049.999999998</v>
      </c>
      <c r="AD124" s="81" t="s">
        <v>243</v>
      </c>
      <c r="AE124" s="140" t="s">
        <v>15</v>
      </c>
      <c r="AF124" s="140" t="s">
        <v>361</v>
      </c>
      <c r="AG124" s="83"/>
      <c r="AH124" s="84" t="str">
        <f t="shared" si="27"/>
        <v>CON-114</v>
      </c>
      <c r="AI124" s="81">
        <v>80111600</v>
      </c>
      <c r="AJ124" s="142" t="s">
        <v>467</v>
      </c>
      <c r="AK124" s="47">
        <f t="shared" si="24"/>
        <v>45327</v>
      </c>
      <c r="AL124" s="47">
        <f t="shared" si="25"/>
        <v>45327</v>
      </c>
      <c r="AM124" s="233">
        <f t="shared" si="28"/>
        <v>11</v>
      </c>
      <c r="AN124" s="48" t="s">
        <v>241</v>
      </c>
      <c r="AO124" s="49" t="s">
        <v>242</v>
      </c>
      <c r="AP124" s="50">
        <f t="shared" si="29"/>
        <v>16066049.999999998</v>
      </c>
      <c r="AQ124" s="50">
        <f t="shared" si="26"/>
        <v>16066049.999999998</v>
      </c>
      <c r="AR124" s="48" t="s">
        <v>244</v>
      </c>
      <c r="AS124" s="48" t="s">
        <v>245</v>
      </c>
      <c r="AT124" s="51" t="s">
        <v>246</v>
      </c>
      <c r="AU124" s="52" t="s">
        <v>247</v>
      </c>
      <c r="AV124" s="53" t="s">
        <v>23</v>
      </c>
      <c r="AW124" s="54" t="s">
        <v>248</v>
      </c>
      <c r="AX124" s="55" t="s">
        <v>249</v>
      </c>
      <c r="AY124" s="48" t="s">
        <v>244</v>
      </c>
      <c r="AZ124" s="48" t="s">
        <v>244</v>
      </c>
      <c r="BA124" s="143" t="s">
        <v>250</v>
      </c>
      <c r="BB124" s="143" t="s">
        <v>251</v>
      </c>
      <c r="BC124" s="143" t="s">
        <v>252</v>
      </c>
      <c r="BD124" s="143" t="s">
        <v>250</v>
      </c>
      <c r="BE124" s="143"/>
      <c r="BF124" s="143"/>
    </row>
    <row r="125" spans="1:58" ht="67.5" x14ac:dyDescent="0.2">
      <c r="A125" s="44" t="s">
        <v>642</v>
      </c>
      <c r="B125" s="193" t="s">
        <v>63</v>
      </c>
      <c r="C125" s="193" t="s">
        <v>25</v>
      </c>
      <c r="D125" s="193" t="s">
        <v>38</v>
      </c>
      <c r="E125" s="193" t="s">
        <v>646</v>
      </c>
      <c r="F125" s="45" t="s">
        <v>647</v>
      </c>
      <c r="G125" s="45" t="s">
        <v>75</v>
      </c>
      <c r="H125" s="45" t="s">
        <v>67</v>
      </c>
      <c r="I125" s="45">
        <v>3</v>
      </c>
      <c r="J125" s="95">
        <v>5000000</v>
      </c>
      <c r="K125" s="172">
        <f t="shared" si="17"/>
        <v>7.0000000000000062E-2</v>
      </c>
      <c r="L125" s="166">
        <f>IF(H125="OTRO",(J125*1.05),VLOOKUP((I125&amp;H125),'ESCALAS Salarios'!$D$2:$F$30,3,0))</f>
        <v>5350000</v>
      </c>
      <c r="M125" s="45">
        <v>1</v>
      </c>
      <c r="N125" s="45" t="s">
        <v>485</v>
      </c>
      <c r="O125" s="59">
        <v>45327</v>
      </c>
      <c r="P125" s="58">
        <v>45639</v>
      </c>
      <c r="Q125" s="59">
        <f>VLOOKUP($A125,[6]Contratistas!$A$3:$R$117,10,0)</f>
        <v>45313</v>
      </c>
      <c r="R125" s="237">
        <f>VLOOKUP($A125,[6]Contratistas!$A$3:$R$117,11,0)</f>
        <v>45626</v>
      </c>
      <c r="S125" s="78">
        <f t="shared" si="18"/>
        <v>55818333.333333336</v>
      </c>
      <c r="T125" s="139"/>
      <c r="U125" s="97"/>
      <c r="V125" s="78">
        <f t="shared" si="19"/>
        <v>0</v>
      </c>
      <c r="W125" s="76">
        <f t="shared" si="20"/>
        <v>10</v>
      </c>
      <c r="X125" s="93">
        <f t="shared" si="21"/>
        <v>55818333.333333336</v>
      </c>
      <c r="Y125" s="93">
        <f>6964281*2.05</f>
        <v>14276776.049999999</v>
      </c>
      <c r="Z125" s="171">
        <f t="shared" ref="Z125" si="37">IF(Y125="",1,IF(Y125=0,1,((X125/Y125)-1)))</f>
        <v>2.9097295592399055</v>
      </c>
      <c r="AA125" s="138"/>
      <c r="AB125" s="138"/>
      <c r="AC125" s="80">
        <f t="shared" si="23"/>
        <v>55818333.333333336</v>
      </c>
      <c r="AD125" s="81" t="s">
        <v>243</v>
      </c>
      <c r="AE125" s="82" t="s">
        <v>15</v>
      </c>
      <c r="AF125" s="83" t="s">
        <v>361</v>
      </c>
      <c r="AG125" s="83"/>
      <c r="AH125" s="84" t="str">
        <f t="shared" si="27"/>
        <v>CON-115</v>
      </c>
      <c r="AI125" s="180">
        <v>80111600</v>
      </c>
      <c r="AJ125" s="181" t="s">
        <v>611</v>
      </c>
      <c r="AK125" s="47">
        <f t="shared" si="24"/>
        <v>45313</v>
      </c>
      <c r="AL125" s="47">
        <f t="shared" si="25"/>
        <v>45313</v>
      </c>
      <c r="AM125" s="233">
        <f t="shared" si="28"/>
        <v>10</v>
      </c>
      <c r="AN125" s="48" t="s">
        <v>241</v>
      </c>
      <c r="AO125" s="49" t="s">
        <v>242</v>
      </c>
      <c r="AP125" s="50">
        <f t="shared" si="29"/>
        <v>55818333.333333336</v>
      </c>
      <c r="AQ125" s="50">
        <f t="shared" si="26"/>
        <v>55818333.333333336</v>
      </c>
      <c r="AR125" s="48" t="s">
        <v>244</v>
      </c>
      <c r="AS125" s="48" t="s">
        <v>245</v>
      </c>
      <c r="AT125" s="51" t="s">
        <v>246</v>
      </c>
      <c r="AU125" s="52" t="s">
        <v>247</v>
      </c>
      <c r="AV125" s="53" t="str">
        <f t="shared" ref="AV125:AV133" si="38">D125</f>
        <v>SUBDIRECCIÓN DE BIENESTAR UNIVERSITARIO</v>
      </c>
      <c r="AW125" s="54" t="s">
        <v>248</v>
      </c>
      <c r="AX125" s="55" t="s">
        <v>249</v>
      </c>
      <c r="AY125" s="48" t="s">
        <v>244</v>
      </c>
      <c r="AZ125" s="48" t="s">
        <v>244</v>
      </c>
      <c r="BA125" s="56" t="s">
        <v>250</v>
      </c>
      <c r="BB125" s="57" t="s">
        <v>251</v>
      </c>
      <c r="BC125" s="57" t="s">
        <v>252</v>
      </c>
      <c r="BD125" s="57" t="s">
        <v>250</v>
      </c>
      <c r="BE125" s="57"/>
      <c r="BF125" s="57"/>
    </row>
    <row r="126" spans="1:58" ht="45" x14ac:dyDescent="0.2">
      <c r="C126" s="241" t="s">
        <v>13</v>
      </c>
      <c r="D126" s="241" t="s">
        <v>42</v>
      </c>
      <c r="E126" s="241" t="s">
        <v>88</v>
      </c>
      <c r="F126" s="241" t="s">
        <v>480</v>
      </c>
      <c r="G126" s="241" t="s">
        <v>374</v>
      </c>
      <c r="H126" s="241" t="s">
        <v>70</v>
      </c>
      <c r="I126" s="45">
        <v>4</v>
      </c>
      <c r="J126" s="243">
        <v>2750000</v>
      </c>
      <c r="L126" s="166">
        <f>IF(H126="OTRO",(J126*1.05),VLOOKUP((I126&amp;H126),'ESCALAS Salarios'!$D$2:$F$30,3,0))</f>
        <v>2750000</v>
      </c>
      <c r="M126" s="45">
        <v>1</v>
      </c>
      <c r="N126" s="45" t="s">
        <v>485</v>
      </c>
      <c r="O126" s="59"/>
      <c r="P126" s="58"/>
      <c r="Q126" s="59">
        <v>45327</v>
      </c>
      <c r="R126" s="58">
        <v>45630</v>
      </c>
      <c r="S126" s="78">
        <f t="shared" si="18"/>
        <v>27775000</v>
      </c>
      <c r="T126" s="139"/>
      <c r="U126" s="97"/>
      <c r="V126" s="78">
        <f t="shared" si="19"/>
        <v>0</v>
      </c>
      <c r="W126" s="76">
        <f t="shared" si="20"/>
        <v>10</v>
      </c>
      <c r="X126" s="93">
        <f t="shared" si="21"/>
        <v>27775000</v>
      </c>
      <c r="Y126" s="93"/>
      <c r="Z126" s="171"/>
      <c r="AA126" s="245">
        <v>1030537336</v>
      </c>
      <c r="AB126" s="245" t="s">
        <v>666</v>
      </c>
      <c r="AC126" s="80">
        <f t="shared" si="23"/>
        <v>27775000</v>
      </c>
      <c r="AD126" s="81" t="s">
        <v>243</v>
      </c>
      <c r="AE126" s="82" t="s">
        <v>15</v>
      </c>
      <c r="AF126" s="83" t="s">
        <v>361</v>
      </c>
      <c r="AG126" s="83"/>
      <c r="AH126" s="84" t="str">
        <f t="shared" si="27"/>
        <v>CON-</v>
      </c>
      <c r="AI126" s="180">
        <v>80111600</v>
      </c>
      <c r="AJ126" s="181" t="s">
        <v>658</v>
      </c>
      <c r="AK126" s="47">
        <f t="shared" si="24"/>
        <v>45327</v>
      </c>
      <c r="AL126" s="47">
        <f t="shared" si="25"/>
        <v>45327</v>
      </c>
      <c r="AM126" s="233">
        <f t="shared" si="28"/>
        <v>10</v>
      </c>
      <c r="AN126" s="48" t="s">
        <v>241</v>
      </c>
      <c r="AO126" s="49" t="s">
        <v>242</v>
      </c>
      <c r="AP126" s="50">
        <f t="shared" si="29"/>
        <v>27775000</v>
      </c>
      <c r="AQ126" s="50">
        <f t="shared" si="26"/>
        <v>27775000</v>
      </c>
      <c r="AR126" s="48" t="s">
        <v>244</v>
      </c>
      <c r="AS126" s="48" t="s">
        <v>245</v>
      </c>
      <c r="AT126" s="51" t="s">
        <v>246</v>
      </c>
      <c r="AU126" s="52" t="s">
        <v>247</v>
      </c>
      <c r="AV126" s="53" t="str">
        <f t="shared" si="38"/>
        <v xml:space="preserve">FACULTAD DE EDUCACIÓN FÍSICA </v>
      </c>
      <c r="AW126" s="54" t="s">
        <v>248</v>
      </c>
      <c r="AX126" s="55" t="s">
        <v>249</v>
      </c>
      <c r="AY126" s="48" t="s">
        <v>244</v>
      </c>
      <c r="AZ126" s="48" t="s">
        <v>244</v>
      </c>
      <c r="BA126" s="56" t="s">
        <v>250</v>
      </c>
      <c r="BB126" s="57" t="s">
        <v>251</v>
      </c>
      <c r="BC126" s="57" t="s">
        <v>252</v>
      </c>
      <c r="BD126" s="57" t="s">
        <v>250</v>
      </c>
      <c r="BE126" s="57"/>
      <c r="BF126" s="57"/>
    </row>
    <row r="127" spans="1:58" ht="45" x14ac:dyDescent="0.2">
      <c r="C127" s="242" t="s">
        <v>78</v>
      </c>
      <c r="D127" s="242" t="s">
        <v>91</v>
      </c>
      <c r="E127" s="242"/>
      <c r="F127" s="241" t="s">
        <v>383</v>
      </c>
      <c r="G127" s="241" t="s">
        <v>374</v>
      </c>
      <c r="H127" s="241" t="s">
        <v>67</v>
      </c>
      <c r="I127" s="45">
        <v>5</v>
      </c>
      <c r="J127" s="244">
        <v>6018000</v>
      </c>
      <c r="L127" s="166">
        <f>IF(H127="OTRO",(J127*1.05),VLOOKUP((I127&amp;H127),'ESCALAS Salarios'!$D$2:$F$30,3,0))</f>
        <v>6000000</v>
      </c>
      <c r="M127" s="45">
        <v>1</v>
      </c>
      <c r="N127" s="45" t="s">
        <v>485</v>
      </c>
      <c r="O127" s="59"/>
      <c r="P127" s="58"/>
      <c r="Q127" s="59">
        <v>45306</v>
      </c>
      <c r="R127" s="58">
        <v>45639</v>
      </c>
      <c r="S127" s="78">
        <f t="shared" si="18"/>
        <v>66600000</v>
      </c>
      <c r="T127" s="139"/>
      <c r="U127" s="97"/>
      <c r="V127" s="78">
        <f t="shared" si="19"/>
        <v>0</v>
      </c>
      <c r="W127" s="76">
        <f t="shared" si="20"/>
        <v>11</v>
      </c>
      <c r="X127" s="93">
        <f t="shared" si="21"/>
        <v>66600000</v>
      </c>
      <c r="Y127" s="93"/>
      <c r="Z127" s="171"/>
      <c r="AA127" s="109">
        <v>19066613</v>
      </c>
      <c r="AB127" s="246" t="s">
        <v>667</v>
      </c>
      <c r="AC127" s="80">
        <f t="shared" si="23"/>
        <v>66600000</v>
      </c>
      <c r="AD127" s="81" t="s">
        <v>243</v>
      </c>
      <c r="AE127" s="82" t="s">
        <v>15</v>
      </c>
      <c r="AF127" s="83" t="s">
        <v>361</v>
      </c>
      <c r="AG127" s="83"/>
      <c r="AH127" s="84" t="str">
        <f t="shared" si="27"/>
        <v>CON-</v>
      </c>
      <c r="AI127" s="180">
        <v>80111600</v>
      </c>
      <c r="AJ127" s="181" t="s">
        <v>659</v>
      </c>
      <c r="AK127" s="47">
        <f t="shared" si="24"/>
        <v>45306</v>
      </c>
      <c r="AL127" s="47">
        <f t="shared" si="25"/>
        <v>45306</v>
      </c>
      <c r="AM127" s="233">
        <f t="shared" si="28"/>
        <v>11</v>
      </c>
      <c r="AN127" s="48" t="s">
        <v>241</v>
      </c>
      <c r="AO127" s="49" t="s">
        <v>242</v>
      </c>
      <c r="AP127" s="50">
        <f t="shared" si="29"/>
        <v>66600000</v>
      </c>
      <c r="AQ127" s="50">
        <f t="shared" si="26"/>
        <v>66600000</v>
      </c>
      <c r="AR127" s="48" t="s">
        <v>244</v>
      </c>
      <c r="AS127" s="48" t="s">
        <v>245</v>
      </c>
      <c r="AT127" s="51" t="s">
        <v>246</v>
      </c>
      <c r="AU127" s="52" t="s">
        <v>247</v>
      </c>
      <c r="AV127" s="53" t="str">
        <f t="shared" si="38"/>
        <v>SUBDIRECCIÓN DE ASESORÍAS Y EXTENSIÓN</v>
      </c>
      <c r="AW127" s="54" t="s">
        <v>248</v>
      </c>
      <c r="AX127" s="55" t="s">
        <v>249</v>
      </c>
      <c r="AY127" s="48" t="s">
        <v>244</v>
      </c>
      <c r="AZ127" s="48" t="s">
        <v>244</v>
      </c>
      <c r="BA127" s="56" t="s">
        <v>250</v>
      </c>
      <c r="BB127" s="57" t="s">
        <v>251</v>
      </c>
      <c r="BC127" s="57" t="s">
        <v>252</v>
      </c>
      <c r="BD127" s="57" t="s">
        <v>250</v>
      </c>
      <c r="BE127" s="57"/>
      <c r="BF127" s="57"/>
    </row>
    <row r="128" spans="1:58" ht="45" x14ac:dyDescent="0.2">
      <c r="C128" s="242" t="s">
        <v>78</v>
      </c>
      <c r="D128" s="242" t="s">
        <v>79</v>
      </c>
      <c r="E128" s="242"/>
      <c r="F128" s="241" t="s">
        <v>383</v>
      </c>
      <c r="G128" s="241" t="s">
        <v>374</v>
      </c>
      <c r="H128" s="241" t="s">
        <v>69</v>
      </c>
      <c r="I128" s="45">
        <v>1</v>
      </c>
      <c r="J128" s="244">
        <v>3000000</v>
      </c>
      <c r="L128" s="166">
        <f>IF(H128="OTRO",(J128*1.05),VLOOKUP((I128&amp;H128),'ESCALAS Salarios'!$D$2:$F$30,3,0))</f>
        <v>3100000</v>
      </c>
      <c r="M128" s="45">
        <v>1</v>
      </c>
      <c r="N128" s="45" t="s">
        <v>485</v>
      </c>
      <c r="O128" s="59"/>
      <c r="P128" s="58"/>
      <c r="Q128" s="59">
        <v>45327</v>
      </c>
      <c r="R128" s="58">
        <v>45646</v>
      </c>
      <c r="S128" s="78">
        <f t="shared" si="18"/>
        <v>32963333.333333332</v>
      </c>
      <c r="T128" s="139"/>
      <c r="U128" s="97"/>
      <c r="V128" s="78">
        <f t="shared" si="19"/>
        <v>0</v>
      </c>
      <c r="W128" s="76">
        <f t="shared" si="20"/>
        <v>11</v>
      </c>
      <c r="X128" s="93">
        <f t="shared" si="21"/>
        <v>32963333.333333332</v>
      </c>
      <c r="Y128" s="93"/>
      <c r="Z128" s="171"/>
      <c r="AA128" s="138"/>
      <c r="AB128" s="138"/>
      <c r="AC128" s="80">
        <f t="shared" si="23"/>
        <v>32963333.333333332</v>
      </c>
      <c r="AD128" s="81" t="s">
        <v>243</v>
      </c>
      <c r="AE128" s="82" t="s">
        <v>15</v>
      </c>
      <c r="AF128" s="83" t="s">
        <v>361</v>
      </c>
      <c r="AG128" s="83"/>
      <c r="AH128" s="84" t="str">
        <f t="shared" si="27"/>
        <v>CON-</v>
      </c>
      <c r="AI128" s="180">
        <v>80111600</v>
      </c>
      <c r="AJ128" s="181" t="s">
        <v>660</v>
      </c>
      <c r="AK128" s="47">
        <f t="shared" si="24"/>
        <v>45327</v>
      </c>
      <c r="AL128" s="47">
        <f t="shared" si="25"/>
        <v>45327</v>
      </c>
      <c r="AM128" s="233">
        <f t="shared" si="28"/>
        <v>11</v>
      </c>
      <c r="AN128" s="48" t="s">
        <v>241</v>
      </c>
      <c r="AO128" s="49" t="s">
        <v>242</v>
      </c>
      <c r="AP128" s="50">
        <f t="shared" si="29"/>
        <v>32963333.333333332</v>
      </c>
      <c r="AQ128" s="50">
        <f t="shared" si="26"/>
        <v>32963333.333333332</v>
      </c>
      <c r="AR128" s="48" t="s">
        <v>244</v>
      </c>
      <c r="AS128" s="48" t="s">
        <v>245</v>
      </c>
      <c r="AT128" s="51" t="s">
        <v>246</v>
      </c>
      <c r="AU128" s="52" t="s">
        <v>247</v>
      </c>
      <c r="AV128" s="53" t="str">
        <f t="shared" si="38"/>
        <v>GRUPO EDITORIAL</v>
      </c>
      <c r="AW128" s="54" t="s">
        <v>248</v>
      </c>
      <c r="AX128" s="55" t="s">
        <v>249</v>
      </c>
      <c r="AY128" s="48" t="s">
        <v>244</v>
      </c>
      <c r="AZ128" s="48" t="s">
        <v>244</v>
      </c>
      <c r="BA128" s="56" t="s">
        <v>250</v>
      </c>
      <c r="BB128" s="57" t="s">
        <v>251</v>
      </c>
      <c r="BC128" s="57" t="s">
        <v>252</v>
      </c>
      <c r="BD128" s="57" t="s">
        <v>250</v>
      </c>
      <c r="BE128" s="57"/>
      <c r="BF128" s="57"/>
    </row>
    <row r="129" spans="3:58" ht="33.75" x14ac:dyDescent="0.2">
      <c r="C129" s="242" t="s">
        <v>78</v>
      </c>
      <c r="D129" s="242" t="s">
        <v>79</v>
      </c>
      <c r="E129" s="242"/>
      <c r="F129" s="241" t="s">
        <v>383</v>
      </c>
      <c r="G129" s="241" t="s">
        <v>374</v>
      </c>
      <c r="H129" s="241" t="s">
        <v>69</v>
      </c>
      <c r="I129" s="45">
        <v>1</v>
      </c>
      <c r="J129" s="244">
        <v>3000000</v>
      </c>
      <c r="L129" s="166">
        <f>IF(H129="OTRO",(J129*1.05),VLOOKUP((I129&amp;H129),'ESCALAS Salarios'!$D$2:$F$30,3,0))</f>
        <v>3100000</v>
      </c>
      <c r="M129" s="45">
        <v>1</v>
      </c>
      <c r="N129" s="45" t="s">
        <v>485</v>
      </c>
      <c r="O129" s="59"/>
      <c r="P129" s="58"/>
      <c r="Q129" s="59">
        <v>45327</v>
      </c>
      <c r="R129" s="58">
        <v>45646</v>
      </c>
      <c r="S129" s="78">
        <f t="shared" si="18"/>
        <v>32963333.333333332</v>
      </c>
      <c r="T129" s="139"/>
      <c r="U129" s="97"/>
      <c r="V129" s="78">
        <f t="shared" si="19"/>
        <v>0</v>
      </c>
      <c r="W129" s="76">
        <f t="shared" si="20"/>
        <v>11</v>
      </c>
      <c r="X129" s="93">
        <f t="shared" si="21"/>
        <v>32963333.333333332</v>
      </c>
      <c r="Y129" s="93"/>
      <c r="Z129" s="171"/>
      <c r="AA129" s="138"/>
      <c r="AB129" s="138"/>
      <c r="AC129" s="80">
        <f t="shared" si="23"/>
        <v>32963333.333333332</v>
      </c>
      <c r="AD129" s="81" t="s">
        <v>243</v>
      </c>
      <c r="AE129" s="82" t="s">
        <v>15</v>
      </c>
      <c r="AF129" s="83" t="s">
        <v>361</v>
      </c>
      <c r="AG129" s="83"/>
      <c r="AH129" s="84" t="str">
        <f t="shared" si="27"/>
        <v>CON-</v>
      </c>
      <c r="AI129" s="180">
        <v>80111600</v>
      </c>
      <c r="AJ129" s="181" t="s">
        <v>661</v>
      </c>
      <c r="AK129" s="47">
        <f t="shared" si="24"/>
        <v>45327</v>
      </c>
      <c r="AL129" s="47">
        <f t="shared" si="25"/>
        <v>45327</v>
      </c>
      <c r="AM129" s="233">
        <f t="shared" si="28"/>
        <v>11</v>
      </c>
      <c r="AN129" s="48" t="s">
        <v>241</v>
      </c>
      <c r="AO129" s="49" t="s">
        <v>242</v>
      </c>
      <c r="AP129" s="50">
        <f t="shared" si="29"/>
        <v>32963333.333333332</v>
      </c>
      <c r="AQ129" s="50">
        <f t="shared" si="26"/>
        <v>32963333.333333332</v>
      </c>
      <c r="AR129" s="48" t="s">
        <v>244</v>
      </c>
      <c r="AS129" s="48" t="s">
        <v>245</v>
      </c>
      <c r="AT129" s="51" t="s">
        <v>246</v>
      </c>
      <c r="AU129" s="52" t="s">
        <v>247</v>
      </c>
      <c r="AV129" s="53" t="str">
        <f t="shared" si="38"/>
        <v>GRUPO EDITORIAL</v>
      </c>
      <c r="AW129" s="54" t="s">
        <v>248</v>
      </c>
      <c r="AX129" s="55" t="s">
        <v>249</v>
      </c>
      <c r="AY129" s="48" t="s">
        <v>244</v>
      </c>
      <c r="AZ129" s="48" t="s">
        <v>244</v>
      </c>
      <c r="BA129" s="56" t="s">
        <v>250</v>
      </c>
      <c r="BB129" s="57" t="s">
        <v>251</v>
      </c>
      <c r="BC129" s="57" t="s">
        <v>252</v>
      </c>
      <c r="BD129" s="57" t="s">
        <v>250</v>
      </c>
      <c r="BE129" s="57"/>
      <c r="BF129" s="57"/>
    </row>
    <row r="130" spans="3:58" ht="45" x14ac:dyDescent="0.2">
      <c r="C130" s="242" t="s">
        <v>78</v>
      </c>
      <c r="D130" s="242" t="s">
        <v>371</v>
      </c>
      <c r="E130" s="242"/>
      <c r="F130" s="241" t="s">
        <v>383</v>
      </c>
      <c r="G130" s="241" t="s">
        <v>397</v>
      </c>
      <c r="H130" s="241" t="s">
        <v>69</v>
      </c>
      <c r="I130" s="45">
        <v>6</v>
      </c>
      <c r="J130" s="244">
        <v>4640625</v>
      </c>
      <c r="L130" s="166">
        <f>IF(H130="OTRO",(J130*1.05),VLOOKUP((I130&amp;H130),'ESCALAS Salarios'!$D$2:$F$30,3,0))</f>
        <v>4400000</v>
      </c>
      <c r="M130" s="45">
        <v>1</v>
      </c>
      <c r="N130" s="45" t="s">
        <v>485</v>
      </c>
      <c r="O130" s="59"/>
      <c r="P130" s="58"/>
      <c r="Q130" s="59">
        <v>45323</v>
      </c>
      <c r="R130" s="58">
        <v>45646</v>
      </c>
      <c r="S130" s="78">
        <f t="shared" si="18"/>
        <v>47373333.333333336</v>
      </c>
      <c r="T130" s="139"/>
      <c r="U130" s="97"/>
      <c r="V130" s="78">
        <f t="shared" si="19"/>
        <v>0</v>
      </c>
      <c r="W130" s="76">
        <f t="shared" si="20"/>
        <v>11</v>
      </c>
      <c r="X130" s="93">
        <f t="shared" si="21"/>
        <v>47373333.333333336</v>
      </c>
      <c r="Y130" s="93"/>
      <c r="Z130" s="171"/>
      <c r="AA130" s="138"/>
      <c r="AB130" s="138"/>
      <c r="AC130" s="80">
        <f t="shared" si="23"/>
        <v>47373333.333333336</v>
      </c>
      <c r="AD130" s="81" t="s">
        <v>243</v>
      </c>
      <c r="AE130" s="82" t="s">
        <v>15</v>
      </c>
      <c r="AF130" s="83" t="s">
        <v>361</v>
      </c>
      <c r="AG130" s="83"/>
      <c r="AH130" s="84" t="str">
        <f t="shared" si="27"/>
        <v>CON-</v>
      </c>
      <c r="AI130" s="180">
        <v>80111600</v>
      </c>
      <c r="AJ130" s="181" t="s">
        <v>662</v>
      </c>
      <c r="AK130" s="47">
        <f t="shared" si="24"/>
        <v>45323</v>
      </c>
      <c r="AL130" s="47">
        <f t="shared" si="25"/>
        <v>45323</v>
      </c>
      <c r="AM130" s="233">
        <f t="shared" si="28"/>
        <v>11</v>
      </c>
      <c r="AN130" s="48" t="s">
        <v>241</v>
      </c>
      <c r="AO130" s="49" t="s">
        <v>242</v>
      </c>
      <c r="AP130" s="50">
        <f t="shared" si="29"/>
        <v>47373333.333333336</v>
      </c>
      <c r="AQ130" s="50">
        <f t="shared" si="26"/>
        <v>47373333.333333336</v>
      </c>
      <c r="AR130" s="48" t="s">
        <v>244</v>
      </c>
      <c r="AS130" s="48" t="s">
        <v>245</v>
      </c>
      <c r="AT130" s="51" t="s">
        <v>246</v>
      </c>
      <c r="AU130" s="52" t="s">
        <v>247</v>
      </c>
      <c r="AV130" s="53" t="str">
        <f t="shared" si="38"/>
        <v xml:space="preserve">SUBDIRECCION DE GESTION DE PROYECTOS </v>
      </c>
      <c r="AW130" s="54" t="s">
        <v>248</v>
      </c>
      <c r="AX130" s="55" t="s">
        <v>249</v>
      </c>
      <c r="AY130" s="48" t="s">
        <v>244</v>
      </c>
      <c r="AZ130" s="48" t="s">
        <v>244</v>
      </c>
      <c r="BA130" s="56" t="s">
        <v>250</v>
      </c>
      <c r="BB130" s="57" t="s">
        <v>251</v>
      </c>
      <c r="BC130" s="57" t="s">
        <v>252</v>
      </c>
      <c r="BD130" s="57" t="s">
        <v>250</v>
      </c>
      <c r="BE130" s="57"/>
      <c r="BF130" s="57"/>
    </row>
    <row r="131" spans="3:58" ht="101.25" x14ac:dyDescent="0.2">
      <c r="C131" s="242" t="s">
        <v>78</v>
      </c>
      <c r="D131" s="242" t="s">
        <v>657</v>
      </c>
      <c r="E131" s="242"/>
      <c r="F131" s="241" t="s">
        <v>383</v>
      </c>
      <c r="G131" s="241" t="s">
        <v>397</v>
      </c>
      <c r="H131" s="241" t="s">
        <v>67</v>
      </c>
      <c r="I131" s="45">
        <v>2</v>
      </c>
      <c r="J131" s="244">
        <v>5000000</v>
      </c>
      <c r="L131" s="166">
        <f>IF(H131="OTRO",(J131*1.05),VLOOKUP((I131&amp;H131),'ESCALAS Salarios'!$D$2:$F$30,3,0))</f>
        <v>5000000</v>
      </c>
      <c r="M131" s="45">
        <v>1</v>
      </c>
      <c r="N131" s="45" t="s">
        <v>485</v>
      </c>
      <c r="O131" s="59"/>
      <c r="P131" s="58"/>
      <c r="Q131" s="59">
        <v>45327</v>
      </c>
      <c r="R131" s="58">
        <v>45646</v>
      </c>
      <c r="S131" s="78">
        <f t="shared" si="18"/>
        <v>53166666.666666664</v>
      </c>
      <c r="T131" s="139"/>
      <c r="U131" s="97"/>
      <c r="V131" s="78">
        <f t="shared" si="19"/>
        <v>0</v>
      </c>
      <c r="W131" s="76">
        <f t="shared" si="20"/>
        <v>11</v>
      </c>
      <c r="X131" s="93">
        <f t="shared" si="21"/>
        <v>53166666.666666664</v>
      </c>
      <c r="Y131" s="93"/>
      <c r="Z131" s="171"/>
      <c r="AA131" s="138"/>
      <c r="AB131" s="138"/>
      <c r="AC131" s="80">
        <f t="shared" si="23"/>
        <v>53166666.666666664</v>
      </c>
      <c r="AD131" s="81" t="s">
        <v>243</v>
      </c>
      <c r="AE131" s="82" t="s">
        <v>15</v>
      </c>
      <c r="AF131" s="83" t="s">
        <v>361</v>
      </c>
      <c r="AG131" s="83"/>
      <c r="AH131" s="84" t="str">
        <f t="shared" si="27"/>
        <v>CON-</v>
      </c>
      <c r="AI131" s="180">
        <v>80111600</v>
      </c>
      <c r="AJ131" s="181" t="s">
        <v>663</v>
      </c>
      <c r="AK131" s="47">
        <f t="shared" si="24"/>
        <v>45327</v>
      </c>
      <c r="AL131" s="47">
        <f t="shared" si="25"/>
        <v>45327</v>
      </c>
      <c r="AM131" s="233">
        <f t="shared" si="28"/>
        <v>11</v>
      </c>
      <c r="AN131" s="48" t="s">
        <v>241</v>
      </c>
      <c r="AO131" s="49" t="s">
        <v>242</v>
      </c>
      <c r="AP131" s="50">
        <f t="shared" si="29"/>
        <v>53166666.666666664</v>
      </c>
      <c r="AQ131" s="50">
        <f t="shared" si="26"/>
        <v>53166666.666666664</v>
      </c>
      <c r="AR131" s="48" t="s">
        <v>244</v>
      </c>
      <c r="AS131" s="48" t="s">
        <v>245</v>
      </c>
      <c r="AT131" s="51" t="s">
        <v>246</v>
      </c>
      <c r="AU131" s="52" t="s">
        <v>247</v>
      </c>
      <c r="AV131" s="53" t="str">
        <f t="shared" si="38"/>
        <v>CENTRO DE EDUCACIÓN PARA LA PAZ, LA MEMORIA Y LOS DERECHOS HUMANOS</v>
      </c>
      <c r="AW131" s="54" t="s">
        <v>248</v>
      </c>
      <c r="AX131" s="55" t="s">
        <v>249</v>
      </c>
      <c r="AY131" s="48" t="s">
        <v>244</v>
      </c>
      <c r="AZ131" s="48" t="s">
        <v>244</v>
      </c>
      <c r="BA131" s="56" t="s">
        <v>250</v>
      </c>
      <c r="BB131" s="57" t="s">
        <v>251</v>
      </c>
      <c r="BC131" s="57" t="s">
        <v>252</v>
      </c>
      <c r="BD131" s="57" t="s">
        <v>250</v>
      </c>
      <c r="BE131" s="57"/>
      <c r="BF131" s="57"/>
    </row>
    <row r="132" spans="3:58" ht="101.25" x14ac:dyDescent="0.2">
      <c r="C132" s="242" t="s">
        <v>78</v>
      </c>
      <c r="D132" s="242" t="s">
        <v>657</v>
      </c>
      <c r="E132" s="242"/>
      <c r="F132" s="241" t="s">
        <v>383</v>
      </c>
      <c r="G132" s="241" t="s">
        <v>397</v>
      </c>
      <c r="H132" s="241" t="s">
        <v>69</v>
      </c>
      <c r="I132" s="45">
        <v>5</v>
      </c>
      <c r="J132" s="244">
        <v>4000000</v>
      </c>
      <c r="L132" s="166">
        <f>IF(H132="OTRO",(J132*1.05),VLOOKUP((I132&amp;H132),'ESCALAS Salarios'!$D$2:$F$30,3,0))</f>
        <v>4200000</v>
      </c>
      <c r="M132" s="45">
        <v>1</v>
      </c>
      <c r="N132" s="45" t="s">
        <v>485</v>
      </c>
      <c r="O132" s="59"/>
      <c r="P132" s="58"/>
      <c r="Q132" s="59">
        <v>45327</v>
      </c>
      <c r="R132" s="58">
        <v>45646</v>
      </c>
      <c r="S132" s="78">
        <f t="shared" si="18"/>
        <v>44660000</v>
      </c>
      <c r="T132" s="139"/>
      <c r="U132" s="97"/>
      <c r="V132" s="78">
        <f t="shared" si="19"/>
        <v>0</v>
      </c>
      <c r="W132" s="76">
        <f t="shared" si="20"/>
        <v>11</v>
      </c>
      <c r="X132" s="93">
        <f t="shared" si="21"/>
        <v>44660000</v>
      </c>
      <c r="Y132" s="93"/>
      <c r="Z132" s="171"/>
      <c r="AA132" s="138"/>
      <c r="AB132" s="138"/>
      <c r="AC132" s="80">
        <f t="shared" si="23"/>
        <v>44660000</v>
      </c>
      <c r="AD132" s="81" t="s">
        <v>243</v>
      </c>
      <c r="AE132" s="82" t="s">
        <v>15</v>
      </c>
      <c r="AF132" s="83" t="s">
        <v>361</v>
      </c>
      <c r="AG132" s="83"/>
      <c r="AH132" s="84" t="str">
        <f t="shared" si="27"/>
        <v>CON-</v>
      </c>
      <c r="AI132" s="180">
        <v>80111600</v>
      </c>
      <c r="AJ132" s="181" t="s">
        <v>664</v>
      </c>
      <c r="AK132" s="47">
        <f t="shared" si="24"/>
        <v>45327</v>
      </c>
      <c r="AL132" s="47">
        <f t="shared" si="25"/>
        <v>45327</v>
      </c>
      <c r="AM132" s="233">
        <f t="shared" si="28"/>
        <v>11</v>
      </c>
      <c r="AN132" s="48" t="s">
        <v>241</v>
      </c>
      <c r="AO132" s="49" t="s">
        <v>242</v>
      </c>
      <c r="AP132" s="50">
        <f t="shared" si="29"/>
        <v>44660000</v>
      </c>
      <c r="AQ132" s="50">
        <f t="shared" si="26"/>
        <v>44660000</v>
      </c>
      <c r="AR132" s="48" t="s">
        <v>244</v>
      </c>
      <c r="AS132" s="48" t="s">
        <v>245</v>
      </c>
      <c r="AT132" s="51" t="s">
        <v>246</v>
      </c>
      <c r="AU132" s="52" t="s">
        <v>247</v>
      </c>
      <c r="AV132" s="53" t="str">
        <f t="shared" si="38"/>
        <v>CENTRO DE EDUCACIÓN PARA LA PAZ, LA MEMORIA Y LOS DERECHOS HUMANOS</v>
      </c>
      <c r="AW132" s="54" t="s">
        <v>248</v>
      </c>
      <c r="AX132" s="55" t="s">
        <v>249</v>
      </c>
      <c r="AY132" s="48" t="s">
        <v>244</v>
      </c>
      <c r="AZ132" s="48" t="s">
        <v>244</v>
      </c>
      <c r="BA132" s="56" t="s">
        <v>250</v>
      </c>
      <c r="BB132" s="57" t="s">
        <v>251</v>
      </c>
      <c r="BC132" s="57" t="s">
        <v>252</v>
      </c>
      <c r="BD132" s="57" t="s">
        <v>250</v>
      </c>
      <c r="BE132" s="57"/>
      <c r="BF132" s="57"/>
    </row>
    <row r="133" spans="3:58" ht="45" x14ac:dyDescent="0.2">
      <c r="C133" s="242" t="s">
        <v>78</v>
      </c>
      <c r="D133" s="242" t="s">
        <v>23</v>
      </c>
      <c r="E133" s="242"/>
      <c r="F133" s="241" t="s">
        <v>383</v>
      </c>
      <c r="G133" s="241" t="s">
        <v>374</v>
      </c>
      <c r="H133" s="241" t="s">
        <v>67</v>
      </c>
      <c r="I133" s="45">
        <v>2</v>
      </c>
      <c r="J133" s="244">
        <v>5000000</v>
      </c>
      <c r="L133" s="166">
        <f>IF(H133="OTRO",(J133*1.05),VLOOKUP((I133&amp;H133),'ESCALAS Salarios'!$D$2:$F$30,3,0))</f>
        <v>5000000</v>
      </c>
      <c r="M133" s="45">
        <v>1</v>
      </c>
      <c r="N133" s="45" t="s">
        <v>485</v>
      </c>
      <c r="O133" s="59"/>
      <c r="P133" s="58"/>
      <c r="Q133" s="59">
        <v>45323</v>
      </c>
      <c r="R133" s="58">
        <v>45636</v>
      </c>
      <c r="S133" s="78">
        <f t="shared" si="18"/>
        <v>52166666.666666664</v>
      </c>
      <c r="T133" s="139"/>
      <c r="U133" s="97"/>
      <c r="V133" s="78">
        <f t="shared" si="19"/>
        <v>0</v>
      </c>
      <c r="W133" s="76">
        <f t="shared" si="20"/>
        <v>10</v>
      </c>
      <c r="X133" s="93">
        <f t="shared" si="21"/>
        <v>52166666.666666664</v>
      </c>
      <c r="Y133" s="93"/>
      <c r="Z133" s="171"/>
      <c r="AA133" s="138"/>
      <c r="AB133" s="138"/>
      <c r="AC133" s="80">
        <f t="shared" si="23"/>
        <v>52166666.666666664</v>
      </c>
      <c r="AD133" s="81" t="s">
        <v>243</v>
      </c>
      <c r="AE133" s="82" t="s">
        <v>15</v>
      </c>
      <c r="AF133" s="83" t="s">
        <v>361</v>
      </c>
      <c r="AG133" s="83"/>
      <c r="AH133" s="84" t="str">
        <f t="shared" si="27"/>
        <v>CON-</v>
      </c>
      <c r="AI133" s="180">
        <v>80111600</v>
      </c>
      <c r="AJ133" s="181" t="s">
        <v>665</v>
      </c>
      <c r="AK133" s="47">
        <f t="shared" si="24"/>
        <v>45323</v>
      </c>
      <c r="AL133" s="47">
        <f t="shared" si="25"/>
        <v>45323</v>
      </c>
      <c r="AM133" s="233">
        <f t="shared" si="28"/>
        <v>10</v>
      </c>
      <c r="AN133" s="48" t="s">
        <v>241</v>
      </c>
      <c r="AO133" s="49" t="s">
        <v>242</v>
      </c>
      <c r="AP133" s="50">
        <f t="shared" si="29"/>
        <v>52166666.666666664</v>
      </c>
      <c r="AQ133" s="50">
        <f t="shared" si="26"/>
        <v>52166666.666666664</v>
      </c>
      <c r="AR133" s="48" t="s">
        <v>244</v>
      </c>
      <c r="AS133" s="48" t="s">
        <v>245</v>
      </c>
      <c r="AT133" s="51" t="s">
        <v>246</v>
      </c>
      <c r="AU133" s="52" t="s">
        <v>247</v>
      </c>
      <c r="AV133" s="53" t="str">
        <f t="shared" si="38"/>
        <v>CENTRO DE EGRESADOS</v>
      </c>
      <c r="AW133" s="54" t="s">
        <v>248</v>
      </c>
      <c r="AX133" s="55" t="s">
        <v>249</v>
      </c>
      <c r="AY133" s="48" t="s">
        <v>244</v>
      </c>
      <c r="AZ133" s="48" t="s">
        <v>244</v>
      </c>
      <c r="BA133" s="56" t="s">
        <v>250</v>
      </c>
      <c r="BB133" s="57" t="s">
        <v>251</v>
      </c>
      <c r="BC133" s="57" t="s">
        <v>252</v>
      </c>
      <c r="BD133" s="57" t="s">
        <v>250</v>
      </c>
      <c r="BE133" s="57"/>
      <c r="BF133" s="57"/>
    </row>
  </sheetData>
  <sheetProtection autoFilter="0"/>
  <autoFilter ref="A11:BF125" xr:uid="{A83F39D9-C13F-4ECF-A292-D19DD422F766}"/>
  <mergeCells count="6">
    <mergeCell ref="BD10:BF10"/>
    <mergeCell ref="B8:B10"/>
    <mergeCell ref="E8:E10"/>
    <mergeCell ref="Q10:S10"/>
    <mergeCell ref="T10:V10"/>
    <mergeCell ref="BA10:BC10"/>
  </mergeCells>
  <conditionalFormatting sqref="AF12:AF113">
    <cfRule type="cellIs" dxfId="10" priority="5" operator="equal">
      <formula>"NO"</formula>
    </cfRule>
  </conditionalFormatting>
  <conditionalFormatting sqref="AF115:AF120">
    <cfRule type="cellIs" dxfId="9" priority="8" operator="equal">
      <formula>"NO"</formula>
    </cfRule>
  </conditionalFormatting>
  <conditionalFormatting sqref="AF123:AF133">
    <cfRule type="cellIs" dxfId="8" priority="1" operator="equal">
      <formula>"NO"</formula>
    </cfRule>
  </conditionalFormatting>
  <conditionalFormatting sqref="AG12:AG133">
    <cfRule type="cellIs" dxfId="7" priority="2" operator="equal">
      <formula>"SI"</formula>
    </cfRule>
  </conditionalFormatting>
  <dataValidations count="4">
    <dataValidation type="list" allowBlank="1" showInputMessage="1" sqref="AK12:AL133" xr:uid="{357AAA80-283A-45C1-A080-A2270E5EC3F6}">
      <formula1>"enero,ferebro,marzo,abril,mayo,junio,julio,agosto,septiembre,octubre,noviembre,diciembre"</formula1>
    </dataValidation>
    <dataValidation type="list" allowBlank="1" showInputMessage="1" showErrorMessage="1" sqref="H12:H126" xr:uid="{B8025272-A70A-4490-AF2A-E621C247FCD8}">
      <formula1>"ASESOR,PROFESIONAL ESPECIALIZADO,PROFESIONAL UNIVERSITARIO,TÉCNICO,ASISTENCIAL,OTRO"</formula1>
    </dataValidation>
    <dataValidation type="list" allowBlank="1" showInputMessage="1" showErrorMessage="1" sqref="AY122:AZ133 AR12:AR133 AY12:AZ120" xr:uid="{1B2AAFC4-32B3-433A-B23A-30A785757AF9}">
      <formula1>"SI,NO"</formula1>
    </dataValidation>
    <dataValidation type="list" allowBlank="1" showInputMessage="1" showErrorMessage="1" sqref="AN122:AN133 AN12:AN120" xr:uid="{0B385981-C6D1-4761-B3DF-32E3D240BFCA}">
      <formula1>"DÍA(S),MES(ES),AÑO(S)"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65276A-C623-4B57-9503-80FA298CC45F}">
          <x14:formula1>
            <xm:f>'C:\Users\jeespitias\OneDrive - Universidad Pedagogica Nacional\Documentos\JhonE\Presupuesto\Ppto 2023\[PAA UPN 2023 Consolidados 06Ene2023.xlsx]Listas'!#REF!</xm:f>
          </x14:formula1>
          <xm:sqref>AS12:AS133 AO12:AO133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97DB-2C53-43F9-AC89-7F54BE6E213D}">
  <dimension ref="A1:O12"/>
  <sheetViews>
    <sheetView workbookViewId="0">
      <selection activeCell="H20" sqref="H20"/>
    </sheetView>
  </sheetViews>
  <sheetFormatPr baseColWidth="10" defaultRowHeight="15" x14ac:dyDescent="0.25"/>
  <cols>
    <col min="1" max="1" width="18.42578125" customWidth="1"/>
    <col min="2" max="2" width="18.28515625" customWidth="1"/>
    <col min="4" max="4" width="1.28515625" customWidth="1"/>
    <col min="5" max="5" width="18.28515625" customWidth="1"/>
    <col min="7" max="7" width="1.28515625" customWidth="1"/>
    <col min="8" max="8" width="18.28515625" customWidth="1"/>
    <col min="10" max="10" width="1.28515625" customWidth="1"/>
    <col min="11" max="11" width="18.28515625" customWidth="1"/>
    <col min="13" max="13" width="1.28515625" customWidth="1"/>
    <col min="14" max="14" width="18.28515625" customWidth="1"/>
    <col min="16" max="16" width="1.28515625" customWidth="1"/>
  </cols>
  <sheetData>
    <row r="1" spans="1:15" ht="15.75" x14ac:dyDescent="0.25">
      <c r="A1" s="104"/>
      <c r="B1" s="503" t="s">
        <v>1</v>
      </c>
      <c r="C1" s="503"/>
      <c r="E1" s="503" t="s">
        <v>15</v>
      </c>
      <c r="F1" s="503"/>
      <c r="H1" s="503" t="s">
        <v>378</v>
      </c>
      <c r="I1" s="503"/>
      <c r="K1" s="503" t="s">
        <v>373</v>
      </c>
      <c r="L1" s="503"/>
      <c r="N1" s="504" t="s">
        <v>97</v>
      </c>
      <c r="O1" s="504"/>
    </row>
    <row r="2" spans="1:15" x14ac:dyDescent="0.25">
      <c r="A2" s="105" t="s">
        <v>380</v>
      </c>
      <c r="B2" s="105" t="s">
        <v>381</v>
      </c>
      <c r="C2" s="105" t="s">
        <v>382</v>
      </c>
      <c r="E2" s="105" t="s">
        <v>381</v>
      </c>
      <c r="F2" s="105" t="s">
        <v>382</v>
      </c>
      <c r="H2" s="105" t="s">
        <v>381</v>
      </c>
      <c r="I2" s="105" t="s">
        <v>382</v>
      </c>
      <c r="K2" s="105" t="s">
        <v>381</v>
      </c>
      <c r="L2" s="105" t="s">
        <v>382</v>
      </c>
      <c r="N2" s="106" t="s">
        <v>381</v>
      </c>
      <c r="O2" s="106" t="s">
        <v>382</v>
      </c>
    </row>
    <row r="3" spans="1:15" x14ac:dyDescent="0.25">
      <c r="A3" s="107" t="s">
        <v>374</v>
      </c>
      <c r="B3" s="108">
        <f>SUMIFS('PAA Contratistas 2024'!$AA$16:$AA$1926,'PAA Contratistas 2024'!$AC$16:$AC$1926,B$1,'PAA Contratistas 2024'!$G$16:$G$1926,$A3)</f>
        <v>2881386575.3333321</v>
      </c>
      <c r="C3" s="109">
        <f>COUNTIFS('PAA Contratistas 2024'!$G$16:$G$1926,$A3,'PAA Contratistas 2024'!$AC$16:$AC$1926,B$1)</f>
        <v>88</v>
      </c>
      <c r="E3" s="108">
        <f>SUMIFS('PAA Contratistas 2024'!$AA$16:$AA$1926,'PAA Contratistas 2024'!$AC$16:$AC$1926,E$1,'PAA Contratistas 2024'!$G$16:$G$1926,$A3)</f>
        <v>582160944</v>
      </c>
      <c r="F3" s="109">
        <f>COUNTIFS('PAA Contratistas 2024'!$G$16:$G$1926,$A3,'PAA Contratistas 2024'!$AC$16:$AC$1926,E$1)</f>
        <v>26</v>
      </c>
      <c r="H3" s="108">
        <f>SUMIFS('PAA Contratistas 2024'!$AA$16:$AA$1926,'PAA Contratistas 2024'!$AC$16:$AC$1926,H$1,'PAA Contratistas 2024'!$G$16:$G$1926,$A3)</f>
        <v>17528000</v>
      </c>
      <c r="I3" s="109">
        <f>COUNTIFS('PAA Contratistas 2024'!$G$16:$G$1926,$A3,'PAA Contratistas 2024'!$AC$16:$AC$1926,H$1)</f>
        <v>1</v>
      </c>
      <c r="K3" s="108">
        <f>SUMIFS('PAA Contratistas 2024'!$AA$16:$AA$1926,'PAA Contratistas 2024'!$AC$16:$AC$1926,K$1,'PAA Contratistas 2024'!$G$16:$G$1926,$A3)</f>
        <v>249310859354</v>
      </c>
      <c r="L3" s="109">
        <f>COUNTIFS('PAA Contratistas 2024'!$G$16:$G$1926,$A3,'PAA Contratistas 2024'!$AC$16:$AC$1926,K$1)</f>
        <v>259</v>
      </c>
      <c r="N3" s="110">
        <f>SUM(K3,H3,E3,B3)</f>
        <v>252791934873.33334</v>
      </c>
      <c r="O3" s="111">
        <f>SUM(C3,F3,I3,L3)</f>
        <v>374</v>
      </c>
    </row>
    <row r="4" spans="1:15" x14ac:dyDescent="0.25">
      <c r="A4" s="107" t="s">
        <v>64</v>
      </c>
      <c r="B4" s="108">
        <f>SUMIFS('PAA Contratistas 2024'!$AA$16:$AA$1926,'PAA Contratistas 2024'!$AC$16:$AC$1926,B$1,'PAA Contratistas 2024'!$G$16:$G$1926,$A4)</f>
        <v>133000000</v>
      </c>
      <c r="C4" s="109">
        <f>COUNTIFS('PAA Contratistas 2024'!$G$16:$G$1926,$A4,'PAA Contratistas 2024'!$AC$16:$AC$1926,B$1)</f>
        <v>2</v>
      </c>
      <c r="E4" s="108">
        <f>SUMIFS('PAA Contratistas 2024'!$AA$16:$AA$1926,'PAA Contratistas 2024'!$AC$16:$AC$1926,E$1,'PAA Contratistas 2024'!$G$16:$G$1926,$A4)</f>
        <v>0</v>
      </c>
      <c r="F4" s="109">
        <f>COUNTIFS('PAA Contratistas 2024'!$G$16:$G$1926,$A4,'PAA Contratistas 2024'!$AC$16:$AC$1926,E$1)</f>
        <v>0</v>
      </c>
      <c r="H4" s="108">
        <f>SUMIFS('PAA Contratistas 2024'!$AA$16:$AA$1926,'PAA Contratistas 2024'!$AC$16:$AC$1926,H$1,'PAA Contratistas 2024'!$G$16:$G$1926,$A4)</f>
        <v>0</v>
      </c>
      <c r="I4" s="109">
        <f>COUNTIFS('PAA Contratistas 2024'!$G$16:$G$1926,$A4,'PAA Contratistas 2024'!$AC$16:$AC$1926,H$1)</f>
        <v>0</v>
      </c>
      <c r="K4" s="108">
        <f>SUMIFS('PAA Contratistas 2024'!$AA$16:$AA$1926,'PAA Contratistas 2024'!$AC$16:$AC$1926,K$1,'PAA Contratistas 2024'!$G$16:$G$1926,$A4)</f>
        <v>0</v>
      </c>
      <c r="L4" s="109">
        <f>COUNTIFS('PAA Contratistas 2024'!$G$16:$G$1926,$A4,'PAA Contratistas 2024'!$AC$16:$AC$1926,K$1)</f>
        <v>0</v>
      </c>
      <c r="N4" s="110">
        <f>SUM(K4,H4,E4,B4)</f>
        <v>133000000</v>
      </c>
      <c r="O4" s="111">
        <f>SUM(C4,F4,I4,L4)</f>
        <v>2</v>
      </c>
    </row>
    <row r="5" spans="1:15" x14ac:dyDescent="0.25">
      <c r="A5" s="107" t="s">
        <v>383</v>
      </c>
      <c r="B5" s="108">
        <f>SUMIFS('PAA Contratistas 2024'!$AA$16:$AA$1926,'PAA Contratistas 2024'!$AC$16:$AC$1926,B$1,'PAA Contratistas 2024'!$G$16:$G$1926,$A5)</f>
        <v>0</v>
      </c>
      <c r="C5" s="109">
        <f>COUNTIFS('PAA Contratistas 2024'!$G$16:$G$1926,$A5,'PAA Contratistas 2024'!$AC$16:$AC$1926,B$1)</f>
        <v>0</v>
      </c>
      <c r="E5" s="108">
        <f>SUMIFS('PAA Contratistas 2024'!$AA$16:$AA$1926,'PAA Contratistas 2024'!$AC$16:$AC$1926,E$1,'PAA Contratistas 2024'!$G$16:$G$1926,$A5)</f>
        <v>462656158.66666633</v>
      </c>
      <c r="F5" s="109">
        <f>COUNTIFS('PAA Contratistas 2024'!$G$16:$G$1926,$A5,'PAA Contratistas 2024'!$AC$16:$AC$1926,E$1)</f>
        <v>44</v>
      </c>
      <c r="H5" s="108">
        <f>SUMIFS('PAA Contratistas 2024'!$AA$16:$AA$1926,'PAA Contratistas 2024'!$AC$16:$AC$1926,H$1,'PAA Contratistas 2024'!$G$16:$G$1926,$A5)</f>
        <v>0</v>
      </c>
      <c r="I5" s="109">
        <f>COUNTIFS('PAA Contratistas 2024'!$G$16:$G$1926,$A5,'PAA Contratistas 2024'!$AC$16:$AC$1926,H$1)</f>
        <v>0</v>
      </c>
      <c r="K5" s="108">
        <f>SUMIFS('PAA Contratistas 2024'!$AA$16:$AA$1926,'PAA Contratistas 2024'!$AC$16:$AC$1926,K$1,'PAA Contratistas 2024'!$G$16:$G$1926,$A5)</f>
        <v>0</v>
      </c>
      <c r="L5" s="109">
        <f>COUNTIFS('PAA Contratistas 2024'!$G$16:$G$1926,$A5,'PAA Contratistas 2024'!$AC$16:$AC$1926,K$1)</f>
        <v>0</v>
      </c>
      <c r="N5" s="110">
        <f>SUM(K5,H5,E5,B5)</f>
        <v>462656158.66666633</v>
      </c>
      <c r="O5" s="111">
        <f>SUM(C5,F5,I5,L5)</f>
        <v>44</v>
      </c>
    </row>
    <row r="6" spans="1:15" x14ac:dyDescent="0.25">
      <c r="A6" s="107" t="s">
        <v>72</v>
      </c>
      <c r="B6" s="108">
        <f>SUMIFS('PAA Contratistas 2024'!$AA$16:$AA$1926,'PAA Contratistas 2024'!$AC$16:$AC$1926,B$1,'PAA Contratistas 2024'!$G$16:$G$1926,$A6)</f>
        <v>172818868.69306239</v>
      </c>
      <c r="C6" s="109">
        <f>COUNTIFS('PAA Contratistas 2024'!$G$16:$G$1926,$A6,'PAA Contratistas 2024'!$AC$16:$AC$1926,B$1)</f>
        <v>3</v>
      </c>
      <c r="E6" s="108">
        <f>SUMIFS('PAA Contratistas 2024'!$AA$16:$AA$1926,'PAA Contratistas 2024'!$AC$16:$AC$1926,E$1,'PAA Contratistas 2024'!$G$16:$G$1926,$A6)</f>
        <v>409736636.24199998</v>
      </c>
      <c r="F6" s="109">
        <f>COUNTIFS('PAA Contratistas 2024'!$G$16:$G$1926,$A6,'PAA Contratistas 2024'!$AC$16:$AC$1926,E$1)</f>
        <v>8</v>
      </c>
      <c r="H6" s="108">
        <f>SUMIFS('PAA Contratistas 2024'!$AA$16:$AA$1926,'PAA Contratistas 2024'!$AC$16:$AC$1926,H$1,'PAA Contratistas 2024'!$G$16:$G$1926,$A6)</f>
        <v>0</v>
      </c>
      <c r="I6" s="109">
        <f>COUNTIFS('PAA Contratistas 2024'!$G$16:$G$1926,$A6,'PAA Contratistas 2024'!$AC$16:$AC$1926,H$1)</f>
        <v>0</v>
      </c>
      <c r="K6" s="108">
        <f>SUMIFS('PAA Contratistas 2024'!$AA$16:$AA$1926,'PAA Contratistas 2024'!$AC$16:$AC$1926,K$1,'PAA Contratistas 2024'!$G$16:$G$1926,$A6)</f>
        <v>0</v>
      </c>
      <c r="L6" s="109">
        <f>COUNTIFS('PAA Contratistas 2024'!$G$16:$G$1926,$A6,'PAA Contratistas 2024'!$AC$16:$AC$1926,K$1)</f>
        <v>0</v>
      </c>
      <c r="N6" s="110">
        <f>SUM(K6,H6,E6,B6)</f>
        <v>582555504.93506241</v>
      </c>
      <c r="O6" s="111">
        <f>SUM(C6,F6,I6,L6)</f>
        <v>11</v>
      </c>
    </row>
    <row r="7" spans="1:15" x14ac:dyDescent="0.25">
      <c r="A7" s="112" t="s">
        <v>97</v>
      </c>
      <c r="B7" s="113">
        <f>SUM(B3:B6)</f>
        <v>3187205444.0263944</v>
      </c>
      <c r="C7" s="114">
        <f>SUM(C3:C6)</f>
        <v>93</v>
      </c>
      <c r="E7" s="113">
        <f>SUM(E3:E6)</f>
        <v>1454553738.9086661</v>
      </c>
      <c r="F7" s="114">
        <f>SUM(F3:F6)</f>
        <v>78</v>
      </c>
      <c r="H7" s="113">
        <f>SUM(H3:H6)</f>
        <v>17528000</v>
      </c>
      <c r="I7" s="114">
        <f>SUM(I3:I6)</f>
        <v>1</v>
      </c>
      <c r="K7" s="113">
        <f>SUM(K3:K6)</f>
        <v>249310859354</v>
      </c>
      <c r="L7" s="114">
        <f>SUM(L3:L6)</f>
        <v>259</v>
      </c>
      <c r="N7" s="115">
        <f>SUM(N3:N6)</f>
        <v>253970146536.93506</v>
      </c>
      <c r="O7" s="106">
        <f>SUM(O3:O6)</f>
        <v>431</v>
      </c>
    </row>
    <row r="8" spans="1:15" x14ac:dyDescent="0.25">
      <c r="A8" s="116" t="s">
        <v>384</v>
      </c>
      <c r="B8" s="117">
        <v>2880533686</v>
      </c>
      <c r="C8" s="118"/>
      <c r="D8" s="118"/>
      <c r="E8" s="119">
        <f>1085393446+100000000</f>
        <v>1185393446</v>
      </c>
      <c r="F8" s="118"/>
      <c r="G8" s="118"/>
      <c r="H8" s="119">
        <v>273856341</v>
      </c>
      <c r="I8" s="118"/>
      <c r="J8" s="118"/>
      <c r="K8" s="119">
        <v>979027830</v>
      </c>
      <c r="L8" s="118"/>
      <c r="M8" s="118"/>
      <c r="N8" s="120">
        <f>SUM(K8,H8,E8,B8)</f>
        <v>5318811303</v>
      </c>
      <c r="O8" s="121"/>
    </row>
    <row r="9" spans="1:15" x14ac:dyDescent="0.25">
      <c r="A9" s="122" t="s">
        <v>385</v>
      </c>
      <c r="B9" s="123">
        <f>+B8-B7</f>
        <v>-306671758.02639437</v>
      </c>
      <c r="E9" s="123">
        <f>+E8-E7</f>
        <v>-269160292.90866613</v>
      </c>
      <c r="H9" s="123">
        <f>+H8-H7</f>
        <v>256328341</v>
      </c>
      <c r="K9" s="123">
        <f>+K8-K7</f>
        <v>-248331831524</v>
      </c>
      <c r="N9" s="124">
        <f>+N8-N7</f>
        <v>-248651335233.93506</v>
      </c>
      <c r="O9" s="121"/>
    </row>
    <row r="10" spans="1:15" x14ac:dyDescent="0.25">
      <c r="B10" s="125"/>
      <c r="E10" s="126"/>
      <c r="H10" s="127">
        <v>28012010</v>
      </c>
    </row>
    <row r="11" spans="1:15" x14ac:dyDescent="0.25">
      <c r="H11" s="127">
        <f>+H10-H7</f>
        <v>10484010</v>
      </c>
    </row>
    <row r="12" spans="1:15" x14ac:dyDescent="0.25">
      <c r="B12" s="128">
        <v>87763333</v>
      </c>
      <c r="E12" s="128">
        <v>52517130</v>
      </c>
    </row>
  </sheetData>
  <mergeCells count="5">
    <mergeCell ref="B1:C1"/>
    <mergeCell ref="E1:F1"/>
    <mergeCell ref="H1:I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8059-CB64-47AD-A5E8-2FE3AA0772E9}">
  <dimension ref="A2:AU209"/>
  <sheetViews>
    <sheetView topLeftCell="J5" workbookViewId="0">
      <selection activeCell="H3" sqref="H3"/>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1.7109375" style="36" customWidth="1"/>
    <col min="7" max="7" width="12.28515625" style="36" customWidth="1"/>
    <col min="8" max="8" width="6.85546875" style="36" customWidth="1"/>
    <col min="9" max="9" width="12.42578125" style="89" customWidth="1"/>
    <col min="10" max="10" width="11.5703125" style="89" customWidth="1"/>
    <col min="11" max="11" width="16.28515625" style="89" hidden="1" customWidth="1"/>
    <col min="12" max="12" width="9.85546875" style="89" customWidth="1"/>
    <col min="13" max="13" width="13.28515625" style="89" customWidth="1"/>
    <col min="14" max="14" width="13.5703125" style="89" customWidth="1"/>
    <col min="15" max="15" width="10.5703125" style="89" hidden="1" customWidth="1"/>
    <col min="16" max="16" width="13.7109375" style="89" hidden="1" customWidth="1"/>
    <col min="17" max="17" width="13.7109375" style="90" hidden="1" customWidth="1"/>
    <col min="18" max="18" width="17" style="90" customWidth="1"/>
    <col min="19" max="19" width="11.85546875" style="90" customWidth="1"/>
    <col min="20" max="20" width="13.7109375" style="90" customWidth="1"/>
    <col min="21" max="22" width="9.28515625" style="90" hidden="1" customWidth="1"/>
    <col min="23" max="23" width="11.42578125" style="74"/>
    <col min="24" max="24" width="13.85546875" style="74" customWidth="1"/>
    <col min="25" max="25" width="48.28515625" style="36" customWidth="1"/>
    <col min="26" max="27" width="13" style="36" customWidth="1"/>
    <col min="28" max="28" width="11.5703125" style="36" bestFit="1" customWidth="1"/>
    <col min="29" max="30" width="11.42578125" style="36"/>
    <col min="31" max="31" width="15" style="36" bestFit="1" customWidth="1"/>
    <col min="32" max="32" width="13.85546875" style="36" customWidth="1"/>
    <col min="33" max="34" width="11.42578125" style="36"/>
    <col min="35" max="35" width="20.5703125" style="36" customWidth="1"/>
    <col min="36" max="36" width="11.42578125" style="36"/>
    <col min="37" max="37" width="19.28515625" style="36" customWidth="1"/>
    <col min="38" max="38" width="11.42578125" style="36"/>
    <col min="39" max="39" width="26.85546875" style="36" customWidth="1"/>
    <col min="40" max="40" width="33.85546875" style="36" customWidth="1"/>
    <col min="41" max="41" width="23.42578125" style="36" customWidth="1"/>
    <col min="42" max="42" width="16.85546875" style="36" customWidth="1"/>
    <col min="43" max="43" width="22.5703125" style="36" customWidth="1"/>
    <col min="44" max="44" width="19.42578125" style="36" customWidth="1"/>
    <col min="45" max="45" width="15" style="36" customWidth="1"/>
    <col min="46" max="46" width="14" style="36" customWidth="1"/>
    <col min="47" max="47" width="16.5703125" style="36" customWidth="1"/>
    <col min="48" max="16384" width="11.42578125" style="36"/>
  </cols>
  <sheetData>
    <row r="2" spans="1:47" s="101" customFormat="1" ht="23.25" customHeight="1" x14ac:dyDescent="0.25">
      <c r="I2" s="102"/>
      <c r="J2" s="505" t="s">
        <v>379</v>
      </c>
      <c r="K2" s="505"/>
      <c r="L2" s="505"/>
      <c r="M2" s="505"/>
      <c r="N2" s="505"/>
      <c r="O2" s="505"/>
      <c r="P2" s="505"/>
      <c r="Q2" s="505"/>
      <c r="R2" s="505"/>
      <c r="S2" s="505"/>
      <c r="T2" s="505"/>
      <c r="U2" s="505"/>
      <c r="V2" s="505"/>
      <c r="W2" s="505"/>
      <c r="X2" s="505"/>
      <c r="Y2" s="102"/>
    </row>
    <row r="3" spans="1:47" s="101" customFormat="1" ht="12" customHeight="1" x14ac:dyDescent="0.25">
      <c r="I3" s="102"/>
      <c r="J3" s="102"/>
      <c r="K3" s="102"/>
      <c r="L3" s="147"/>
      <c r="M3" s="147"/>
      <c r="N3" s="147"/>
      <c r="O3" s="147"/>
      <c r="P3" s="147"/>
      <c r="Q3" s="147"/>
      <c r="R3" s="78">
        <f>SUBTOTAL(9,R5:R2090)-$R$4</f>
        <v>1575985981</v>
      </c>
      <c r="S3" s="147"/>
      <c r="T3" s="147"/>
      <c r="U3" s="147"/>
      <c r="V3" s="147"/>
      <c r="W3" s="147"/>
      <c r="X3" s="102"/>
      <c r="Y3" s="102"/>
      <c r="AE3" s="78">
        <f t="shared" ref="AE3:AF3" si="0">SUBTOTAL(9,AE5:AE2090)-$R$4</f>
        <v>1570422345</v>
      </c>
      <c r="AF3" s="78">
        <f t="shared" si="0"/>
        <v>1678520589</v>
      </c>
    </row>
    <row r="4" spans="1:47" x14ac:dyDescent="0.2">
      <c r="A4" s="35"/>
      <c r="B4" s="35"/>
      <c r="C4" s="35"/>
      <c r="D4" s="35"/>
      <c r="E4" s="35"/>
      <c r="F4" s="35"/>
      <c r="G4" s="35"/>
      <c r="H4" s="35"/>
      <c r="I4" s="91"/>
      <c r="J4" s="91"/>
      <c r="K4" s="37">
        <f>SUBTOTAL(9,K6:K883)</f>
        <v>2473112161</v>
      </c>
      <c r="L4" s="506" t="s">
        <v>50</v>
      </c>
      <c r="M4" s="506"/>
      <c r="N4" s="506"/>
      <c r="O4" s="506" t="s">
        <v>51</v>
      </c>
      <c r="P4" s="506"/>
      <c r="Q4" s="506"/>
      <c r="R4" s="78">
        <v>892399335</v>
      </c>
      <c r="S4" s="92"/>
      <c r="T4" s="92"/>
      <c r="U4" s="92"/>
      <c r="V4" s="92"/>
      <c r="W4" s="507" t="s">
        <v>212</v>
      </c>
      <c r="X4" s="508"/>
      <c r="Y4" s="507"/>
      <c r="Z4" s="507"/>
      <c r="AA4" s="507"/>
      <c r="AB4" s="507"/>
      <c r="AC4" s="507"/>
      <c r="AD4" s="507"/>
      <c r="AE4" s="507"/>
      <c r="AF4" s="507"/>
      <c r="AG4" s="507"/>
      <c r="AH4" s="507"/>
      <c r="AI4" s="507"/>
      <c r="AJ4" s="507"/>
      <c r="AK4" s="507"/>
      <c r="AL4" s="507"/>
      <c r="AM4" s="507"/>
      <c r="AN4" s="507"/>
      <c r="AO4" s="507"/>
      <c r="AP4" s="501" t="s">
        <v>213</v>
      </c>
      <c r="AQ4" s="501"/>
      <c r="AR4" s="502"/>
      <c r="AS4" s="493" t="s">
        <v>214</v>
      </c>
      <c r="AT4" s="494"/>
      <c r="AU4" s="495"/>
    </row>
    <row r="5" spans="1:47" ht="67.5" x14ac:dyDescent="0.2">
      <c r="A5" s="38" t="s">
        <v>353</v>
      </c>
      <c r="B5" s="38" t="s">
        <v>52</v>
      </c>
      <c r="C5" s="38" t="s">
        <v>53</v>
      </c>
      <c r="D5" s="38" t="s">
        <v>54</v>
      </c>
      <c r="E5" s="38" t="s">
        <v>55</v>
      </c>
      <c r="F5" s="38" t="s">
        <v>349</v>
      </c>
      <c r="G5" s="38" t="s">
        <v>350</v>
      </c>
      <c r="H5" s="38" t="s">
        <v>351</v>
      </c>
      <c r="I5" s="38" t="s">
        <v>352</v>
      </c>
      <c r="J5" s="38" t="s">
        <v>358</v>
      </c>
      <c r="K5" s="38" t="s">
        <v>62</v>
      </c>
      <c r="L5" s="38" t="s">
        <v>56</v>
      </c>
      <c r="M5" s="38" t="s">
        <v>57</v>
      </c>
      <c r="N5" s="38" t="s">
        <v>58</v>
      </c>
      <c r="O5" s="38" t="s">
        <v>59</v>
      </c>
      <c r="P5" s="38" t="s">
        <v>60</v>
      </c>
      <c r="Q5" s="38" t="s">
        <v>61</v>
      </c>
      <c r="R5" s="38" t="s">
        <v>354</v>
      </c>
      <c r="S5" s="38" t="s">
        <v>223</v>
      </c>
      <c r="T5" s="38" t="s">
        <v>355</v>
      </c>
      <c r="U5" s="60" t="s">
        <v>360</v>
      </c>
      <c r="V5" s="60" t="s">
        <v>363</v>
      </c>
      <c r="W5" s="149" t="s">
        <v>215</v>
      </c>
      <c r="X5" s="39" t="s">
        <v>216</v>
      </c>
      <c r="Y5" s="39" t="s">
        <v>217</v>
      </c>
      <c r="Z5" s="39" t="s">
        <v>218</v>
      </c>
      <c r="AA5" s="39" t="s">
        <v>219</v>
      </c>
      <c r="AB5" s="149" t="s">
        <v>220</v>
      </c>
      <c r="AC5" s="149" t="s">
        <v>221</v>
      </c>
      <c r="AD5" s="149" t="s">
        <v>222</v>
      </c>
      <c r="AE5" s="40" t="s">
        <v>224</v>
      </c>
      <c r="AF5" s="40" t="s">
        <v>225</v>
      </c>
      <c r="AG5" s="149" t="s">
        <v>226</v>
      </c>
      <c r="AH5" s="149" t="s">
        <v>227</v>
      </c>
      <c r="AI5" s="149" t="s">
        <v>228</v>
      </c>
      <c r="AJ5" s="149" t="s">
        <v>229</v>
      </c>
      <c r="AK5" s="149" t="s">
        <v>230</v>
      </c>
      <c r="AL5" s="149" t="s">
        <v>231</v>
      </c>
      <c r="AM5" s="149" t="s">
        <v>232</v>
      </c>
      <c r="AN5" s="41" t="s">
        <v>233</v>
      </c>
      <c r="AO5" s="39" t="s">
        <v>234</v>
      </c>
      <c r="AP5" s="42" t="s">
        <v>235</v>
      </c>
      <c r="AQ5" s="42" t="s">
        <v>236</v>
      </c>
      <c r="AR5" s="42" t="s">
        <v>237</v>
      </c>
      <c r="AS5" s="43" t="s">
        <v>235</v>
      </c>
      <c r="AT5" s="43" t="s">
        <v>238</v>
      </c>
      <c r="AU5" s="43" t="s">
        <v>239</v>
      </c>
    </row>
    <row r="6" spans="1:47" ht="33.75" x14ac:dyDescent="0.2">
      <c r="A6" s="44">
        <v>121</v>
      </c>
      <c r="B6" s="33" t="s">
        <v>90</v>
      </c>
      <c r="C6" s="33" t="s">
        <v>78</v>
      </c>
      <c r="D6" s="33" t="s">
        <v>375</v>
      </c>
      <c r="E6" s="33"/>
      <c r="F6" s="45" t="s">
        <v>374</v>
      </c>
      <c r="G6" s="45" t="s">
        <v>67</v>
      </c>
      <c r="H6" s="45" t="s">
        <v>28</v>
      </c>
      <c r="I6" s="75">
        <v>1013090</v>
      </c>
      <c r="J6" s="195">
        <v>5</v>
      </c>
      <c r="K6" s="94">
        <v>5065450</v>
      </c>
      <c r="L6" s="59">
        <v>44968</v>
      </c>
      <c r="M6" s="58">
        <v>45097</v>
      </c>
      <c r="N6" s="78">
        <v>5065450</v>
      </c>
      <c r="O6" s="86"/>
      <c r="P6" s="86"/>
      <c r="Q6" s="78">
        <v>0</v>
      </c>
      <c r="R6" s="80">
        <v>5065450</v>
      </c>
      <c r="S6" s="87" t="s">
        <v>243</v>
      </c>
      <c r="T6" s="82" t="s">
        <v>373</v>
      </c>
      <c r="U6" s="88" t="s">
        <v>361</v>
      </c>
      <c r="V6" s="83" t="s">
        <v>244</v>
      </c>
      <c r="W6" s="84" t="str">
        <f t="shared" ref="W6:W32" si="1">"CON-"&amp;A6</f>
        <v>CON-121</v>
      </c>
      <c r="X6" s="87">
        <v>80111600</v>
      </c>
      <c r="Y6" s="34" t="s">
        <v>516</v>
      </c>
      <c r="Z6" s="61">
        <v>44963</v>
      </c>
      <c r="AA6" s="61">
        <v>44963</v>
      </c>
      <c r="AB6" s="62">
        <v>5</v>
      </c>
      <c r="AC6" s="63" t="s">
        <v>241</v>
      </c>
      <c r="AD6" s="64" t="s">
        <v>242</v>
      </c>
      <c r="AE6" s="50">
        <v>5065450</v>
      </c>
      <c r="AF6" s="50">
        <v>5065450</v>
      </c>
      <c r="AG6" s="65" t="s">
        <v>244</v>
      </c>
      <c r="AH6" s="65" t="s">
        <v>245</v>
      </c>
      <c r="AI6" s="66" t="s">
        <v>246</v>
      </c>
      <c r="AJ6" s="67" t="s">
        <v>247</v>
      </c>
      <c r="AK6" s="68" t="s">
        <v>372</v>
      </c>
      <c r="AL6" s="69" t="s">
        <v>248</v>
      </c>
      <c r="AM6" s="70" t="s">
        <v>249</v>
      </c>
      <c r="AN6" s="65" t="s">
        <v>244</v>
      </c>
      <c r="AO6" s="65" t="s">
        <v>244</v>
      </c>
      <c r="AP6" s="71" t="s">
        <v>250</v>
      </c>
      <c r="AQ6" s="72" t="s">
        <v>251</v>
      </c>
      <c r="AR6" s="72" t="s">
        <v>252</v>
      </c>
      <c r="AS6" s="72" t="s">
        <v>250</v>
      </c>
      <c r="AT6" s="72"/>
      <c r="AU6" s="72"/>
    </row>
    <row r="7" spans="1:47" ht="33.75" x14ac:dyDescent="0.2">
      <c r="A7" s="44">
        <v>122</v>
      </c>
      <c r="B7" s="33" t="s">
        <v>90</v>
      </c>
      <c r="C7" s="33" t="s">
        <v>78</v>
      </c>
      <c r="D7" s="33" t="s">
        <v>375</v>
      </c>
      <c r="E7" s="33"/>
      <c r="F7" s="45" t="s">
        <v>374</v>
      </c>
      <c r="G7" s="45" t="s">
        <v>67</v>
      </c>
      <c r="H7" s="45" t="s">
        <v>28</v>
      </c>
      <c r="I7" s="75">
        <v>1013090</v>
      </c>
      <c r="J7" s="195">
        <v>5</v>
      </c>
      <c r="K7" s="94">
        <v>5065450</v>
      </c>
      <c r="L7" s="59">
        <v>44968</v>
      </c>
      <c r="M7" s="58">
        <v>45097</v>
      </c>
      <c r="N7" s="78">
        <v>5065450</v>
      </c>
      <c r="O7" s="86"/>
      <c r="P7" s="86"/>
      <c r="Q7" s="78">
        <v>0</v>
      </c>
      <c r="R7" s="80">
        <v>5065450</v>
      </c>
      <c r="S7" s="87" t="s">
        <v>243</v>
      </c>
      <c r="T7" s="82" t="s">
        <v>373</v>
      </c>
      <c r="U7" s="88" t="s">
        <v>361</v>
      </c>
      <c r="V7" s="83" t="s">
        <v>244</v>
      </c>
      <c r="W7" s="84" t="str">
        <f t="shared" si="1"/>
        <v>CON-122</v>
      </c>
      <c r="X7" s="87">
        <v>80111600</v>
      </c>
      <c r="Y7" s="34" t="s">
        <v>516</v>
      </c>
      <c r="Z7" s="61">
        <v>44963</v>
      </c>
      <c r="AA7" s="61">
        <v>44963</v>
      </c>
      <c r="AB7" s="62">
        <v>5</v>
      </c>
      <c r="AC7" s="63" t="s">
        <v>241</v>
      </c>
      <c r="AD7" s="64" t="s">
        <v>242</v>
      </c>
      <c r="AE7" s="50">
        <v>5065450</v>
      </c>
      <c r="AF7" s="50">
        <v>5065450</v>
      </c>
      <c r="AG7" s="65" t="s">
        <v>244</v>
      </c>
      <c r="AH7" s="65" t="s">
        <v>245</v>
      </c>
      <c r="AI7" s="66" t="s">
        <v>246</v>
      </c>
      <c r="AJ7" s="67" t="s">
        <v>247</v>
      </c>
      <c r="AK7" s="68" t="s">
        <v>372</v>
      </c>
      <c r="AL7" s="69" t="s">
        <v>248</v>
      </c>
      <c r="AM7" s="70" t="s">
        <v>249</v>
      </c>
      <c r="AN7" s="65" t="s">
        <v>244</v>
      </c>
      <c r="AO7" s="65" t="s">
        <v>244</v>
      </c>
      <c r="AP7" s="71" t="s">
        <v>250</v>
      </c>
      <c r="AQ7" s="72" t="s">
        <v>251</v>
      </c>
      <c r="AR7" s="72" t="s">
        <v>252</v>
      </c>
      <c r="AS7" s="72" t="s">
        <v>250</v>
      </c>
      <c r="AT7" s="72"/>
      <c r="AU7" s="72"/>
    </row>
    <row r="8" spans="1:47" ht="33.75" x14ac:dyDescent="0.2">
      <c r="A8" s="44">
        <v>123</v>
      </c>
      <c r="B8" s="33" t="s">
        <v>90</v>
      </c>
      <c r="C8" s="33" t="s">
        <v>78</v>
      </c>
      <c r="D8" s="33" t="s">
        <v>375</v>
      </c>
      <c r="E8" s="33"/>
      <c r="F8" s="45" t="s">
        <v>374</v>
      </c>
      <c r="G8" s="45" t="s">
        <v>67</v>
      </c>
      <c r="H8" s="45" t="s">
        <v>28</v>
      </c>
      <c r="I8" s="75">
        <v>1013090</v>
      </c>
      <c r="J8" s="195">
        <v>5</v>
      </c>
      <c r="K8" s="94">
        <v>5065450</v>
      </c>
      <c r="L8" s="59">
        <v>44968</v>
      </c>
      <c r="M8" s="58">
        <v>45097</v>
      </c>
      <c r="N8" s="78">
        <v>5065450</v>
      </c>
      <c r="O8" s="86"/>
      <c r="P8" s="86"/>
      <c r="Q8" s="78">
        <v>0</v>
      </c>
      <c r="R8" s="80">
        <v>5065450</v>
      </c>
      <c r="S8" s="87" t="s">
        <v>243</v>
      </c>
      <c r="T8" s="82" t="s">
        <v>373</v>
      </c>
      <c r="U8" s="88" t="s">
        <v>361</v>
      </c>
      <c r="V8" s="83" t="s">
        <v>244</v>
      </c>
      <c r="W8" s="84" t="str">
        <f t="shared" si="1"/>
        <v>CON-123</v>
      </c>
      <c r="X8" s="87">
        <v>80111600</v>
      </c>
      <c r="Y8" s="34" t="s">
        <v>516</v>
      </c>
      <c r="Z8" s="61">
        <v>44963</v>
      </c>
      <c r="AA8" s="61">
        <v>44963</v>
      </c>
      <c r="AB8" s="62">
        <v>5</v>
      </c>
      <c r="AC8" s="63" t="s">
        <v>241</v>
      </c>
      <c r="AD8" s="64" t="s">
        <v>242</v>
      </c>
      <c r="AE8" s="50">
        <v>5065450</v>
      </c>
      <c r="AF8" s="50">
        <v>5065450</v>
      </c>
      <c r="AG8" s="65" t="s">
        <v>244</v>
      </c>
      <c r="AH8" s="65" t="s">
        <v>245</v>
      </c>
      <c r="AI8" s="66" t="s">
        <v>246</v>
      </c>
      <c r="AJ8" s="67" t="s">
        <v>247</v>
      </c>
      <c r="AK8" s="68" t="s">
        <v>372</v>
      </c>
      <c r="AL8" s="69" t="s">
        <v>248</v>
      </c>
      <c r="AM8" s="70" t="s">
        <v>249</v>
      </c>
      <c r="AN8" s="65" t="s">
        <v>244</v>
      </c>
      <c r="AO8" s="65" t="s">
        <v>244</v>
      </c>
      <c r="AP8" s="71" t="s">
        <v>250</v>
      </c>
      <c r="AQ8" s="72" t="s">
        <v>251</v>
      </c>
      <c r="AR8" s="72" t="s">
        <v>252</v>
      </c>
      <c r="AS8" s="72" t="s">
        <v>250</v>
      </c>
      <c r="AT8" s="72"/>
      <c r="AU8" s="72"/>
    </row>
    <row r="9" spans="1:47" ht="33.75" x14ac:dyDescent="0.2">
      <c r="A9" s="44">
        <v>124</v>
      </c>
      <c r="B9" s="33" t="s">
        <v>90</v>
      </c>
      <c r="C9" s="33" t="s">
        <v>78</v>
      </c>
      <c r="D9" s="33" t="s">
        <v>375</v>
      </c>
      <c r="E9" s="33"/>
      <c r="F9" s="45" t="s">
        <v>374</v>
      </c>
      <c r="G9" s="45" t="s">
        <v>67</v>
      </c>
      <c r="H9" s="45" t="s">
        <v>28</v>
      </c>
      <c r="I9" s="75">
        <v>1013090</v>
      </c>
      <c r="J9" s="195">
        <v>5</v>
      </c>
      <c r="K9" s="94">
        <v>5065450</v>
      </c>
      <c r="L9" s="59">
        <v>44968</v>
      </c>
      <c r="M9" s="58">
        <v>45097</v>
      </c>
      <c r="N9" s="78">
        <v>5065450</v>
      </c>
      <c r="O9" s="86"/>
      <c r="P9" s="86"/>
      <c r="Q9" s="78">
        <v>0</v>
      </c>
      <c r="R9" s="80">
        <v>5065450</v>
      </c>
      <c r="S9" s="87" t="s">
        <v>243</v>
      </c>
      <c r="T9" s="82" t="s">
        <v>373</v>
      </c>
      <c r="U9" s="88" t="s">
        <v>361</v>
      </c>
      <c r="V9" s="83" t="s">
        <v>244</v>
      </c>
      <c r="W9" s="84" t="str">
        <f t="shared" si="1"/>
        <v>CON-124</v>
      </c>
      <c r="X9" s="87">
        <v>80111600</v>
      </c>
      <c r="Y9" s="34" t="s">
        <v>516</v>
      </c>
      <c r="Z9" s="61">
        <v>44963</v>
      </c>
      <c r="AA9" s="61">
        <v>44963</v>
      </c>
      <c r="AB9" s="62">
        <v>5</v>
      </c>
      <c r="AC9" s="63" t="s">
        <v>241</v>
      </c>
      <c r="AD9" s="64" t="s">
        <v>242</v>
      </c>
      <c r="AE9" s="50">
        <v>5065450</v>
      </c>
      <c r="AF9" s="50">
        <v>5065450</v>
      </c>
      <c r="AG9" s="65" t="s">
        <v>244</v>
      </c>
      <c r="AH9" s="65" t="s">
        <v>245</v>
      </c>
      <c r="AI9" s="66" t="s">
        <v>246</v>
      </c>
      <c r="AJ9" s="67" t="s">
        <v>247</v>
      </c>
      <c r="AK9" s="68" t="s">
        <v>372</v>
      </c>
      <c r="AL9" s="69" t="s">
        <v>248</v>
      </c>
      <c r="AM9" s="70" t="s">
        <v>249</v>
      </c>
      <c r="AN9" s="65" t="s">
        <v>244</v>
      </c>
      <c r="AO9" s="65" t="s">
        <v>244</v>
      </c>
      <c r="AP9" s="71" t="s">
        <v>250</v>
      </c>
      <c r="AQ9" s="72" t="s">
        <v>251</v>
      </c>
      <c r="AR9" s="72" t="s">
        <v>252</v>
      </c>
      <c r="AS9" s="72" t="s">
        <v>250</v>
      </c>
      <c r="AT9" s="72"/>
      <c r="AU9" s="72"/>
    </row>
    <row r="10" spans="1:47" ht="33.75" x14ac:dyDescent="0.2">
      <c r="A10" s="44">
        <v>125</v>
      </c>
      <c r="B10" s="33" t="s">
        <v>90</v>
      </c>
      <c r="C10" s="33" t="s">
        <v>78</v>
      </c>
      <c r="D10" s="33" t="s">
        <v>375</v>
      </c>
      <c r="E10" s="33"/>
      <c r="F10" s="45" t="s">
        <v>374</v>
      </c>
      <c r="G10" s="45" t="s">
        <v>67</v>
      </c>
      <c r="H10" s="45" t="s">
        <v>28</v>
      </c>
      <c r="I10" s="75">
        <v>1013090</v>
      </c>
      <c r="J10" s="195">
        <v>5</v>
      </c>
      <c r="K10" s="94">
        <v>5065450</v>
      </c>
      <c r="L10" s="59">
        <v>44968</v>
      </c>
      <c r="M10" s="58">
        <v>45097</v>
      </c>
      <c r="N10" s="78">
        <v>5065450</v>
      </c>
      <c r="O10" s="86"/>
      <c r="P10" s="86"/>
      <c r="Q10" s="78">
        <v>0</v>
      </c>
      <c r="R10" s="80">
        <v>5065450</v>
      </c>
      <c r="S10" s="87" t="s">
        <v>243</v>
      </c>
      <c r="T10" s="82" t="s">
        <v>373</v>
      </c>
      <c r="U10" s="88" t="s">
        <v>361</v>
      </c>
      <c r="V10" s="83" t="s">
        <v>244</v>
      </c>
      <c r="W10" s="84" t="str">
        <f t="shared" si="1"/>
        <v>CON-125</v>
      </c>
      <c r="X10" s="87">
        <v>80111600</v>
      </c>
      <c r="Y10" s="34" t="s">
        <v>516</v>
      </c>
      <c r="Z10" s="61">
        <v>44963</v>
      </c>
      <c r="AA10" s="61">
        <v>44963</v>
      </c>
      <c r="AB10" s="62">
        <v>5</v>
      </c>
      <c r="AC10" s="63" t="s">
        <v>241</v>
      </c>
      <c r="AD10" s="64" t="s">
        <v>242</v>
      </c>
      <c r="AE10" s="50">
        <v>5065450</v>
      </c>
      <c r="AF10" s="50">
        <v>5065450</v>
      </c>
      <c r="AG10" s="65" t="s">
        <v>244</v>
      </c>
      <c r="AH10" s="65" t="s">
        <v>245</v>
      </c>
      <c r="AI10" s="66" t="s">
        <v>246</v>
      </c>
      <c r="AJ10" s="67" t="s">
        <v>247</v>
      </c>
      <c r="AK10" s="68" t="s">
        <v>372</v>
      </c>
      <c r="AL10" s="69" t="s">
        <v>248</v>
      </c>
      <c r="AM10" s="70" t="s">
        <v>249</v>
      </c>
      <c r="AN10" s="65" t="s">
        <v>244</v>
      </c>
      <c r="AO10" s="65" t="s">
        <v>244</v>
      </c>
      <c r="AP10" s="71" t="s">
        <v>250</v>
      </c>
      <c r="AQ10" s="72" t="s">
        <v>251</v>
      </c>
      <c r="AR10" s="72" t="s">
        <v>252</v>
      </c>
      <c r="AS10" s="72" t="s">
        <v>250</v>
      </c>
      <c r="AT10" s="72"/>
      <c r="AU10" s="72"/>
    </row>
    <row r="11" spans="1:47" ht="33.75" x14ac:dyDescent="0.2">
      <c r="A11" s="44">
        <v>126</v>
      </c>
      <c r="B11" s="33" t="s">
        <v>90</v>
      </c>
      <c r="C11" s="33" t="s">
        <v>78</v>
      </c>
      <c r="D11" s="33" t="s">
        <v>375</v>
      </c>
      <c r="E11" s="33"/>
      <c r="F11" s="45" t="s">
        <v>374</v>
      </c>
      <c r="G11" s="45" t="s">
        <v>69</v>
      </c>
      <c r="H11" s="45" t="s">
        <v>28</v>
      </c>
      <c r="I11" s="75">
        <v>1924813</v>
      </c>
      <c r="J11" s="195">
        <v>5</v>
      </c>
      <c r="K11" s="94">
        <v>9624065</v>
      </c>
      <c r="L11" s="59">
        <v>44968</v>
      </c>
      <c r="M11" s="58">
        <v>45097</v>
      </c>
      <c r="N11" s="80">
        <v>9624065</v>
      </c>
      <c r="O11" s="86"/>
      <c r="P11" s="86"/>
      <c r="Q11" s="78">
        <v>0</v>
      </c>
      <c r="R11" s="80">
        <v>9624065</v>
      </c>
      <c r="S11" s="87" t="s">
        <v>243</v>
      </c>
      <c r="T11" s="82" t="s">
        <v>373</v>
      </c>
      <c r="U11" s="88" t="s">
        <v>361</v>
      </c>
      <c r="V11" s="83" t="s">
        <v>244</v>
      </c>
      <c r="W11" s="84" t="str">
        <f t="shared" si="1"/>
        <v>CON-126</v>
      </c>
      <c r="X11" s="87">
        <v>80111600</v>
      </c>
      <c r="Y11" s="34" t="s">
        <v>516</v>
      </c>
      <c r="Z11" s="61">
        <v>44963</v>
      </c>
      <c r="AA11" s="61">
        <v>44963</v>
      </c>
      <c r="AB11" s="62">
        <v>5</v>
      </c>
      <c r="AC11" s="63" t="s">
        <v>241</v>
      </c>
      <c r="AD11" s="64" t="s">
        <v>242</v>
      </c>
      <c r="AE11" s="50">
        <v>9624065</v>
      </c>
      <c r="AF11" s="50">
        <v>9624065</v>
      </c>
      <c r="AG11" s="65" t="s">
        <v>244</v>
      </c>
      <c r="AH11" s="65" t="s">
        <v>245</v>
      </c>
      <c r="AI11" s="66" t="s">
        <v>246</v>
      </c>
      <c r="AJ11" s="67" t="s">
        <v>247</v>
      </c>
      <c r="AK11" s="68" t="s">
        <v>372</v>
      </c>
      <c r="AL11" s="69" t="s">
        <v>248</v>
      </c>
      <c r="AM11" s="70" t="s">
        <v>249</v>
      </c>
      <c r="AN11" s="65" t="s">
        <v>244</v>
      </c>
      <c r="AO11" s="65" t="s">
        <v>244</v>
      </c>
      <c r="AP11" s="71" t="s">
        <v>250</v>
      </c>
      <c r="AQ11" s="72" t="s">
        <v>251</v>
      </c>
      <c r="AR11" s="72" t="s">
        <v>252</v>
      </c>
      <c r="AS11" s="72" t="s">
        <v>250</v>
      </c>
      <c r="AT11" s="72"/>
      <c r="AU11" s="72"/>
    </row>
    <row r="12" spans="1:47" ht="33.75" x14ac:dyDescent="0.2">
      <c r="A12" s="44">
        <v>127</v>
      </c>
      <c r="B12" s="33" t="s">
        <v>90</v>
      </c>
      <c r="C12" s="33" t="s">
        <v>78</v>
      </c>
      <c r="D12" s="33" t="s">
        <v>375</v>
      </c>
      <c r="E12" s="33"/>
      <c r="F12" s="45" t="s">
        <v>374</v>
      </c>
      <c r="G12" s="45" t="s">
        <v>69</v>
      </c>
      <c r="H12" s="45" t="s">
        <v>28</v>
      </c>
      <c r="I12" s="75">
        <v>862004</v>
      </c>
      <c r="J12" s="195">
        <v>5</v>
      </c>
      <c r="K12" s="94">
        <v>4310020</v>
      </c>
      <c r="L12" s="59">
        <v>44968</v>
      </c>
      <c r="M12" s="58">
        <v>45097</v>
      </c>
      <c r="N12" s="78">
        <v>4310020</v>
      </c>
      <c r="O12" s="86"/>
      <c r="P12" s="86"/>
      <c r="Q12" s="78">
        <v>0</v>
      </c>
      <c r="R12" s="80">
        <v>4310020</v>
      </c>
      <c r="S12" s="87" t="s">
        <v>243</v>
      </c>
      <c r="T12" s="82" t="s">
        <v>373</v>
      </c>
      <c r="U12" s="88" t="s">
        <v>361</v>
      </c>
      <c r="V12" s="83" t="s">
        <v>244</v>
      </c>
      <c r="W12" s="84" t="str">
        <f t="shared" si="1"/>
        <v>CON-127</v>
      </c>
      <c r="X12" s="87">
        <v>80111600</v>
      </c>
      <c r="Y12" s="34" t="s">
        <v>516</v>
      </c>
      <c r="Z12" s="61">
        <v>44963</v>
      </c>
      <c r="AA12" s="61">
        <v>44963</v>
      </c>
      <c r="AB12" s="62">
        <v>5</v>
      </c>
      <c r="AC12" s="63" t="s">
        <v>241</v>
      </c>
      <c r="AD12" s="64" t="s">
        <v>242</v>
      </c>
      <c r="AE12" s="50">
        <v>4310020</v>
      </c>
      <c r="AF12" s="50">
        <v>4310020</v>
      </c>
      <c r="AG12" s="65" t="s">
        <v>244</v>
      </c>
      <c r="AH12" s="65" t="s">
        <v>245</v>
      </c>
      <c r="AI12" s="66" t="s">
        <v>246</v>
      </c>
      <c r="AJ12" s="67" t="s">
        <v>247</v>
      </c>
      <c r="AK12" s="68" t="s">
        <v>372</v>
      </c>
      <c r="AL12" s="69" t="s">
        <v>248</v>
      </c>
      <c r="AM12" s="70" t="s">
        <v>249</v>
      </c>
      <c r="AN12" s="65" t="s">
        <v>244</v>
      </c>
      <c r="AO12" s="65" t="s">
        <v>244</v>
      </c>
      <c r="AP12" s="71" t="s">
        <v>250</v>
      </c>
      <c r="AQ12" s="72" t="s">
        <v>251</v>
      </c>
      <c r="AR12" s="72" t="s">
        <v>252</v>
      </c>
      <c r="AS12" s="72" t="s">
        <v>250</v>
      </c>
      <c r="AT12" s="72"/>
      <c r="AU12" s="72"/>
    </row>
    <row r="13" spans="1:47" ht="33.75" x14ac:dyDescent="0.2">
      <c r="A13" s="44">
        <v>128</v>
      </c>
      <c r="B13" s="33" t="s">
        <v>90</v>
      </c>
      <c r="C13" s="33" t="s">
        <v>78</v>
      </c>
      <c r="D13" s="33" t="s">
        <v>375</v>
      </c>
      <c r="E13" s="33"/>
      <c r="F13" s="45" t="s">
        <v>374</v>
      </c>
      <c r="G13" s="45" t="s">
        <v>69</v>
      </c>
      <c r="H13" s="45" t="s">
        <v>28</v>
      </c>
      <c r="I13" s="75">
        <v>862004</v>
      </c>
      <c r="J13" s="195">
        <v>5</v>
      </c>
      <c r="K13" s="94">
        <v>4310020</v>
      </c>
      <c r="L13" s="59">
        <v>44968</v>
      </c>
      <c r="M13" s="58">
        <v>45097</v>
      </c>
      <c r="N13" s="78">
        <v>4310020</v>
      </c>
      <c r="O13" s="86"/>
      <c r="P13" s="86"/>
      <c r="Q13" s="78">
        <v>0</v>
      </c>
      <c r="R13" s="80">
        <v>4310020</v>
      </c>
      <c r="S13" s="87" t="s">
        <v>243</v>
      </c>
      <c r="T13" s="82" t="s">
        <v>373</v>
      </c>
      <c r="U13" s="88" t="s">
        <v>361</v>
      </c>
      <c r="V13" s="83" t="s">
        <v>244</v>
      </c>
      <c r="W13" s="84" t="str">
        <f t="shared" si="1"/>
        <v>CON-128</v>
      </c>
      <c r="X13" s="87">
        <v>80111600</v>
      </c>
      <c r="Y13" s="34" t="s">
        <v>516</v>
      </c>
      <c r="Z13" s="61">
        <v>44963</v>
      </c>
      <c r="AA13" s="61">
        <v>44963</v>
      </c>
      <c r="AB13" s="62">
        <v>5</v>
      </c>
      <c r="AC13" s="63" t="s">
        <v>241</v>
      </c>
      <c r="AD13" s="64" t="s">
        <v>242</v>
      </c>
      <c r="AE13" s="50">
        <v>4310020</v>
      </c>
      <c r="AF13" s="50">
        <v>4310020</v>
      </c>
      <c r="AG13" s="65" t="s">
        <v>244</v>
      </c>
      <c r="AH13" s="65" t="s">
        <v>245</v>
      </c>
      <c r="AI13" s="66" t="s">
        <v>246</v>
      </c>
      <c r="AJ13" s="67" t="s">
        <v>247</v>
      </c>
      <c r="AK13" s="68" t="s">
        <v>372</v>
      </c>
      <c r="AL13" s="69" t="s">
        <v>248</v>
      </c>
      <c r="AM13" s="70" t="s">
        <v>249</v>
      </c>
      <c r="AN13" s="65" t="s">
        <v>244</v>
      </c>
      <c r="AO13" s="65" t="s">
        <v>244</v>
      </c>
      <c r="AP13" s="71" t="s">
        <v>250</v>
      </c>
      <c r="AQ13" s="72" t="s">
        <v>251</v>
      </c>
      <c r="AR13" s="72" t="s">
        <v>252</v>
      </c>
      <c r="AS13" s="72" t="s">
        <v>250</v>
      </c>
      <c r="AT13" s="72"/>
      <c r="AU13" s="72"/>
    </row>
    <row r="14" spans="1:47" ht="33.75" x14ac:dyDescent="0.2">
      <c r="A14" s="44">
        <v>129</v>
      </c>
      <c r="B14" s="33" t="s">
        <v>90</v>
      </c>
      <c r="C14" s="33" t="s">
        <v>78</v>
      </c>
      <c r="D14" s="33" t="s">
        <v>375</v>
      </c>
      <c r="E14" s="33"/>
      <c r="F14" s="45" t="s">
        <v>374</v>
      </c>
      <c r="G14" s="45" t="s">
        <v>67</v>
      </c>
      <c r="H14" s="45" t="s">
        <v>28</v>
      </c>
      <c r="I14" s="75">
        <v>1013090</v>
      </c>
      <c r="J14" s="195">
        <v>5</v>
      </c>
      <c r="K14" s="94">
        <v>5065450</v>
      </c>
      <c r="L14" s="59">
        <v>44968</v>
      </c>
      <c r="M14" s="58">
        <v>45097</v>
      </c>
      <c r="N14" s="78">
        <v>5065450</v>
      </c>
      <c r="O14" s="86"/>
      <c r="P14" s="86"/>
      <c r="Q14" s="78">
        <v>0</v>
      </c>
      <c r="R14" s="80">
        <v>5065450</v>
      </c>
      <c r="S14" s="87" t="s">
        <v>243</v>
      </c>
      <c r="T14" s="82" t="s">
        <v>373</v>
      </c>
      <c r="U14" s="88" t="s">
        <v>361</v>
      </c>
      <c r="V14" s="83" t="s">
        <v>244</v>
      </c>
      <c r="W14" s="84" t="str">
        <f t="shared" si="1"/>
        <v>CON-129</v>
      </c>
      <c r="X14" s="87">
        <v>80111600</v>
      </c>
      <c r="Y14" s="34" t="s">
        <v>516</v>
      </c>
      <c r="Z14" s="61">
        <v>44963</v>
      </c>
      <c r="AA14" s="61">
        <v>44963</v>
      </c>
      <c r="AB14" s="62">
        <v>5</v>
      </c>
      <c r="AC14" s="63" t="s">
        <v>241</v>
      </c>
      <c r="AD14" s="64" t="s">
        <v>242</v>
      </c>
      <c r="AE14" s="50">
        <v>5065450</v>
      </c>
      <c r="AF14" s="50">
        <v>5065450</v>
      </c>
      <c r="AG14" s="65" t="s">
        <v>244</v>
      </c>
      <c r="AH14" s="65" t="s">
        <v>245</v>
      </c>
      <c r="AI14" s="66" t="s">
        <v>246</v>
      </c>
      <c r="AJ14" s="67" t="s">
        <v>247</v>
      </c>
      <c r="AK14" s="68" t="s">
        <v>372</v>
      </c>
      <c r="AL14" s="69" t="s">
        <v>248</v>
      </c>
      <c r="AM14" s="70" t="s">
        <v>249</v>
      </c>
      <c r="AN14" s="65" t="s">
        <v>244</v>
      </c>
      <c r="AO14" s="65" t="s">
        <v>244</v>
      </c>
      <c r="AP14" s="71" t="s">
        <v>250</v>
      </c>
      <c r="AQ14" s="72" t="s">
        <v>251</v>
      </c>
      <c r="AR14" s="72" t="s">
        <v>252</v>
      </c>
      <c r="AS14" s="72" t="s">
        <v>250</v>
      </c>
      <c r="AT14" s="72"/>
      <c r="AU14" s="72"/>
    </row>
    <row r="15" spans="1:47" ht="33.75" x14ac:dyDescent="0.2">
      <c r="A15" s="44">
        <v>130</v>
      </c>
      <c r="B15" s="33" t="s">
        <v>90</v>
      </c>
      <c r="C15" s="33" t="s">
        <v>78</v>
      </c>
      <c r="D15" s="33" t="s">
        <v>375</v>
      </c>
      <c r="E15" s="33"/>
      <c r="F15" s="45" t="s">
        <v>374</v>
      </c>
      <c r="G15" s="45" t="s">
        <v>69</v>
      </c>
      <c r="H15" s="45" t="s">
        <v>28</v>
      </c>
      <c r="I15" s="75">
        <v>862004</v>
      </c>
      <c r="J15" s="195">
        <v>5</v>
      </c>
      <c r="K15" s="94">
        <v>4310020</v>
      </c>
      <c r="L15" s="59">
        <v>44968</v>
      </c>
      <c r="M15" s="58">
        <v>45097</v>
      </c>
      <c r="N15" s="78">
        <v>4310020</v>
      </c>
      <c r="O15" s="86"/>
      <c r="P15" s="86"/>
      <c r="Q15" s="78">
        <v>0</v>
      </c>
      <c r="R15" s="80">
        <v>4310020</v>
      </c>
      <c r="S15" s="87" t="s">
        <v>243</v>
      </c>
      <c r="T15" s="82" t="s">
        <v>373</v>
      </c>
      <c r="U15" s="88" t="s">
        <v>361</v>
      </c>
      <c r="V15" s="83" t="s">
        <v>244</v>
      </c>
      <c r="W15" s="84" t="str">
        <f t="shared" si="1"/>
        <v>CON-130</v>
      </c>
      <c r="X15" s="87">
        <v>80111600</v>
      </c>
      <c r="Y15" s="34" t="s">
        <v>516</v>
      </c>
      <c r="Z15" s="61">
        <v>44963</v>
      </c>
      <c r="AA15" s="61">
        <v>44963</v>
      </c>
      <c r="AB15" s="62">
        <v>5</v>
      </c>
      <c r="AC15" s="63" t="s">
        <v>241</v>
      </c>
      <c r="AD15" s="64" t="s">
        <v>242</v>
      </c>
      <c r="AE15" s="50">
        <v>4310020</v>
      </c>
      <c r="AF15" s="50">
        <v>4310020</v>
      </c>
      <c r="AG15" s="65" t="s">
        <v>244</v>
      </c>
      <c r="AH15" s="65" t="s">
        <v>245</v>
      </c>
      <c r="AI15" s="66" t="s">
        <v>246</v>
      </c>
      <c r="AJ15" s="67" t="s">
        <v>247</v>
      </c>
      <c r="AK15" s="68" t="s">
        <v>372</v>
      </c>
      <c r="AL15" s="69" t="s">
        <v>248</v>
      </c>
      <c r="AM15" s="70" t="s">
        <v>249</v>
      </c>
      <c r="AN15" s="65" t="s">
        <v>244</v>
      </c>
      <c r="AO15" s="65" t="s">
        <v>244</v>
      </c>
      <c r="AP15" s="71" t="s">
        <v>250</v>
      </c>
      <c r="AQ15" s="72" t="s">
        <v>251</v>
      </c>
      <c r="AR15" s="72" t="s">
        <v>252</v>
      </c>
      <c r="AS15" s="72" t="s">
        <v>250</v>
      </c>
      <c r="AT15" s="72"/>
      <c r="AU15" s="72"/>
    </row>
    <row r="16" spans="1:47" ht="33.75" x14ac:dyDescent="0.2">
      <c r="A16" s="44">
        <v>131</v>
      </c>
      <c r="B16" s="33" t="s">
        <v>90</v>
      </c>
      <c r="C16" s="33" t="s">
        <v>78</v>
      </c>
      <c r="D16" s="33" t="s">
        <v>375</v>
      </c>
      <c r="E16" s="33"/>
      <c r="F16" s="45" t="s">
        <v>374</v>
      </c>
      <c r="G16" s="45" t="s">
        <v>69</v>
      </c>
      <c r="H16" s="45" t="s">
        <v>28</v>
      </c>
      <c r="I16" s="75">
        <v>862004</v>
      </c>
      <c r="J16" s="195">
        <v>5</v>
      </c>
      <c r="K16" s="94">
        <v>4310020</v>
      </c>
      <c r="L16" s="59">
        <v>44968</v>
      </c>
      <c r="M16" s="58">
        <v>45097</v>
      </c>
      <c r="N16" s="78">
        <v>4310020</v>
      </c>
      <c r="O16" s="86"/>
      <c r="P16" s="86"/>
      <c r="Q16" s="78">
        <v>0</v>
      </c>
      <c r="R16" s="80">
        <v>4310020</v>
      </c>
      <c r="S16" s="87" t="s">
        <v>243</v>
      </c>
      <c r="T16" s="82" t="s">
        <v>373</v>
      </c>
      <c r="U16" s="88" t="s">
        <v>361</v>
      </c>
      <c r="V16" s="83" t="s">
        <v>244</v>
      </c>
      <c r="W16" s="84" t="str">
        <f t="shared" si="1"/>
        <v>CON-131</v>
      </c>
      <c r="X16" s="87">
        <v>80111600</v>
      </c>
      <c r="Y16" s="34" t="s">
        <v>516</v>
      </c>
      <c r="Z16" s="61">
        <v>44963</v>
      </c>
      <c r="AA16" s="61">
        <v>44963</v>
      </c>
      <c r="AB16" s="62">
        <v>5</v>
      </c>
      <c r="AC16" s="63" t="s">
        <v>241</v>
      </c>
      <c r="AD16" s="64" t="s">
        <v>242</v>
      </c>
      <c r="AE16" s="50">
        <v>4310020</v>
      </c>
      <c r="AF16" s="50">
        <v>4310020</v>
      </c>
      <c r="AG16" s="65" t="s">
        <v>244</v>
      </c>
      <c r="AH16" s="65" t="s">
        <v>245</v>
      </c>
      <c r="AI16" s="66" t="s">
        <v>246</v>
      </c>
      <c r="AJ16" s="67" t="s">
        <v>247</v>
      </c>
      <c r="AK16" s="68" t="s">
        <v>372</v>
      </c>
      <c r="AL16" s="69" t="s">
        <v>248</v>
      </c>
      <c r="AM16" s="70" t="s">
        <v>249</v>
      </c>
      <c r="AN16" s="65" t="s">
        <v>244</v>
      </c>
      <c r="AO16" s="65" t="s">
        <v>244</v>
      </c>
      <c r="AP16" s="71" t="s">
        <v>250</v>
      </c>
      <c r="AQ16" s="72" t="s">
        <v>251</v>
      </c>
      <c r="AR16" s="72" t="s">
        <v>252</v>
      </c>
      <c r="AS16" s="72" t="s">
        <v>250</v>
      </c>
      <c r="AT16" s="72"/>
      <c r="AU16" s="72"/>
    </row>
    <row r="17" spans="1:47" ht="33.75" x14ac:dyDescent="0.2">
      <c r="A17" s="44">
        <v>132</v>
      </c>
      <c r="B17" s="33" t="s">
        <v>90</v>
      </c>
      <c r="C17" s="33" t="s">
        <v>78</v>
      </c>
      <c r="D17" s="33" t="s">
        <v>375</v>
      </c>
      <c r="E17" s="33"/>
      <c r="F17" s="45" t="s">
        <v>374</v>
      </c>
      <c r="G17" s="45" t="s">
        <v>69</v>
      </c>
      <c r="H17" s="45" t="s">
        <v>28</v>
      </c>
      <c r="I17" s="75">
        <v>862004</v>
      </c>
      <c r="J17" s="195">
        <v>5</v>
      </c>
      <c r="K17" s="94">
        <v>4310020</v>
      </c>
      <c r="L17" s="59">
        <v>44968</v>
      </c>
      <c r="M17" s="58">
        <v>45097</v>
      </c>
      <c r="N17" s="78">
        <v>4310020</v>
      </c>
      <c r="O17" s="86"/>
      <c r="P17" s="86"/>
      <c r="Q17" s="78">
        <v>0</v>
      </c>
      <c r="R17" s="80">
        <v>4310020</v>
      </c>
      <c r="S17" s="87" t="s">
        <v>243</v>
      </c>
      <c r="T17" s="82" t="s">
        <v>373</v>
      </c>
      <c r="U17" s="88" t="s">
        <v>361</v>
      </c>
      <c r="V17" s="83" t="s">
        <v>244</v>
      </c>
      <c r="W17" s="84" t="str">
        <f t="shared" si="1"/>
        <v>CON-132</v>
      </c>
      <c r="X17" s="87">
        <v>80111600</v>
      </c>
      <c r="Y17" s="34" t="s">
        <v>516</v>
      </c>
      <c r="Z17" s="61">
        <v>44963</v>
      </c>
      <c r="AA17" s="61">
        <v>44963</v>
      </c>
      <c r="AB17" s="62">
        <v>5</v>
      </c>
      <c r="AC17" s="63" t="s">
        <v>241</v>
      </c>
      <c r="AD17" s="64" t="s">
        <v>242</v>
      </c>
      <c r="AE17" s="50">
        <v>4310020</v>
      </c>
      <c r="AF17" s="50">
        <v>4310020</v>
      </c>
      <c r="AG17" s="65" t="s">
        <v>244</v>
      </c>
      <c r="AH17" s="65" t="s">
        <v>245</v>
      </c>
      <c r="AI17" s="66" t="s">
        <v>246</v>
      </c>
      <c r="AJ17" s="67" t="s">
        <v>247</v>
      </c>
      <c r="AK17" s="68" t="s">
        <v>372</v>
      </c>
      <c r="AL17" s="69" t="s">
        <v>248</v>
      </c>
      <c r="AM17" s="70" t="s">
        <v>249</v>
      </c>
      <c r="AN17" s="65" t="s">
        <v>244</v>
      </c>
      <c r="AO17" s="65" t="s">
        <v>244</v>
      </c>
      <c r="AP17" s="71" t="s">
        <v>250</v>
      </c>
      <c r="AQ17" s="72" t="s">
        <v>251</v>
      </c>
      <c r="AR17" s="72" t="s">
        <v>252</v>
      </c>
      <c r="AS17" s="72" t="s">
        <v>250</v>
      </c>
      <c r="AT17" s="72"/>
      <c r="AU17" s="72"/>
    </row>
    <row r="18" spans="1:47" ht="33.75" x14ac:dyDescent="0.2">
      <c r="A18" s="44">
        <v>133</v>
      </c>
      <c r="B18" s="33" t="s">
        <v>90</v>
      </c>
      <c r="C18" s="33" t="s">
        <v>78</v>
      </c>
      <c r="D18" s="33" t="s">
        <v>375</v>
      </c>
      <c r="E18" s="33"/>
      <c r="F18" s="45" t="s">
        <v>374</v>
      </c>
      <c r="G18" s="45" t="s">
        <v>69</v>
      </c>
      <c r="H18" s="45" t="s">
        <v>28</v>
      </c>
      <c r="I18" s="75">
        <v>862004</v>
      </c>
      <c r="J18" s="195">
        <v>5</v>
      </c>
      <c r="K18" s="94">
        <v>4310020</v>
      </c>
      <c r="L18" s="59">
        <v>44968</v>
      </c>
      <c r="M18" s="58">
        <v>45097</v>
      </c>
      <c r="N18" s="78">
        <v>4310020</v>
      </c>
      <c r="O18" s="86"/>
      <c r="P18" s="86"/>
      <c r="Q18" s="78">
        <v>0</v>
      </c>
      <c r="R18" s="80">
        <v>4310020</v>
      </c>
      <c r="S18" s="87" t="s">
        <v>243</v>
      </c>
      <c r="T18" s="82" t="s">
        <v>373</v>
      </c>
      <c r="U18" s="88" t="s">
        <v>361</v>
      </c>
      <c r="V18" s="83" t="s">
        <v>244</v>
      </c>
      <c r="W18" s="84" t="str">
        <f t="shared" si="1"/>
        <v>CON-133</v>
      </c>
      <c r="X18" s="87">
        <v>80111600</v>
      </c>
      <c r="Y18" s="34" t="s">
        <v>516</v>
      </c>
      <c r="Z18" s="61">
        <v>44963</v>
      </c>
      <c r="AA18" s="61">
        <v>44963</v>
      </c>
      <c r="AB18" s="62">
        <v>5</v>
      </c>
      <c r="AC18" s="63" t="s">
        <v>241</v>
      </c>
      <c r="AD18" s="64" t="s">
        <v>242</v>
      </c>
      <c r="AE18" s="50">
        <v>4310020</v>
      </c>
      <c r="AF18" s="50">
        <v>4310020</v>
      </c>
      <c r="AG18" s="65" t="s">
        <v>244</v>
      </c>
      <c r="AH18" s="65" t="s">
        <v>245</v>
      </c>
      <c r="AI18" s="66" t="s">
        <v>246</v>
      </c>
      <c r="AJ18" s="67" t="s">
        <v>247</v>
      </c>
      <c r="AK18" s="68" t="s">
        <v>372</v>
      </c>
      <c r="AL18" s="69" t="s">
        <v>248</v>
      </c>
      <c r="AM18" s="70" t="s">
        <v>249</v>
      </c>
      <c r="AN18" s="65" t="s">
        <v>244</v>
      </c>
      <c r="AO18" s="65" t="s">
        <v>244</v>
      </c>
      <c r="AP18" s="71" t="s">
        <v>250</v>
      </c>
      <c r="AQ18" s="72" t="s">
        <v>251</v>
      </c>
      <c r="AR18" s="72" t="s">
        <v>252</v>
      </c>
      <c r="AS18" s="72" t="s">
        <v>250</v>
      </c>
      <c r="AT18" s="72"/>
      <c r="AU18" s="72"/>
    </row>
    <row r="19" spans="1:47" ht="33.75" x14ac:dyDescent="0.2">
      <c r="A19" s="44">
        <v>134</v>
      </c>
      <c r="B19" s="33" t="s">
        <v>90</v>
      </c>
      <c r="C19" s="33" t="s">
        <v>78</v>
      </c>
      <c r="D19" s="33" t="s">
        <v>375</v>
      </c>
      <c r="E19" s="33"/>
      <c r="F19" s="45" t="s">
        <v>374</v>
      </c>
      <c r="G19" s="45" t="s">
        <v>69</v>
      </c>
      <c r="H19" s="45" t="s">
        <v>28</v>
      </c>
      <c r="I19" s="75">
        <v>862004</v>
      </c>
      <c r="J19" s="195">
        <v>5</v>
      </c>
      <c r="K19" s="94">
        <v>4310020</v>
      </c>
      <c r="L19" s="59">
        <v>44968</v>
      </c>
      <c r="M19" s="58">
        <v>45097</v>
      </c>
      <c r="N19" s="78">
        <v>4310020</v>
      </c>
      <c r="O19" s="86"/>
      <c r="P19" s="86"/>
      <c r="Q19" s="78">
        <v>0</v>
      </c>
      <c r="R19" s="80">
        <v>4310020</v>
      </c>
      <c r="S19" s="87" t="s">
        <v>243</v>
      </c>
      <c r="T19" s="82" t="s">
        <v>373</v>
      </c>
      <c r="U19" s="88" t="s">
        <v>361</v>
      </c>
      <c r="V19" s="83" t="s">
        <v>244</v>
      </c>
      <c r="W19" s="84" t="str">
        <f t="shared" si="1"/>
        <v>CON-134</v>
      </c>
      <c r="X19" s="87">
        <v>80111600</v>
      </c>
      <c r="Y19" s="34" t="s">
        <v>516</v>
      </c>
      <c r="Z19" s="61">
        <v>44963</v>
      </c>
      <c r="AA19" s="61">
        <v>44963</v>
      </c>
      <c r="AB19" s="62">
        <v>5</v>
      </c>
      <c r="AC19" s="63" t="s">
        <v>241</v>
      </c>
      <c r="AD19" s="64" t="s">
        <v>242</v>
      </c>
      <c r="AE19" s="50">
        <v>4310020</v>
      </c>
      <c r="AF19" s="50">
        <v>4310020</v>
      </c>
      <c r="AG19" s="65" t="s">
        <v>244</v>
      </c>
      <c r="AH19" s="65" t="s">
        <v>245</v>
      </c>
      <c r="AI19" s="66" t="s">
        <v>246</v>
      </c>
      <c r="AJ19" s="67" t="s">
        <v>247</v>
      </c>
      <c r="AK19" s="68" t="s">
        <v>372</v>
      </c>
      <c r="AL19" s="69" t="s">
        <v>248</v>
      </c>
      <c r="AM19" s="70" t="s">
        <v>249</v>
      </c>
      <c r="AN19" s="65" t="s">
        <v>244</v>
      </c>
      <c r="AO19" s="65" t="s">
        <v>244</v>
      </c>
      <c r="AP19" s="71" t="s">
        <v>250</v>
      </c>
      <c r="AQ19" s="72" t="s">
        <v>251</v>
      </c>
      <c r="AR19" s="72" t="s">
        <v>252</v>
      </c>
      <c r="AS19" s="72" t="s">
        <v>250</v>
      </c>
      <c r="AT19" s="72"/>
      <c r="AU19" s="72"/>
    </row>
    <row r="20" spans="1:47" ht="33.75" x14ac:dyDescent="0.2">
      <c r="A20" s="44">
        <v>135</v>
      </c>
      <c r="B20" s="33" t="s">
        <v>90</v>
      </c>
      <c r="C20" s="33" t="s">
        <v>78</v>
      </c>
      <c r="D20" s="33" t="s">
        <v>375</v>
      </c>
      <c r="E20" s="33"/>
      <c r="F20" s="45" t="s">
        <v>374</v>
      </c>
      <c r="G20" s="45" t="s">
        <v>67</v>
      </c>
      <c r="H20" s="45" t="s">
        <v>28</v>
      </c>
      <c r="I20" s="75">
        <v>1013090</v>
      </c>
      <c r="J20" s="195">
        <v>5</v>
      </c>
      <c r="K20" s="94">
        <v>5065450</v>
      </c>
      <c r="L20" s="59">
        <v>44968</v>
      </c>
      <c r="M20" s="58">
        <v>45097</v>
      </c>
      <c r="N20" s="78">
        <v>5065450</v>
      </c>
      <c r="O20" s="86"/>
      <c r="P20" s="86"/>
      <c r="Q20" s="78">
        <v>0</v>
      </c>
      <c r="R20" s="80">
        <v>5065450</v>
      </c>
      <c r="S20" s="87" t="s">
        <v>243</v>
      </c>
      <c r="T20" s="82" t="s">
        <v>373</v>
      </c>
      <c r="U20" s="88" t="s">
        <v>361</v>
      </c>
      <c r="V20" s="83" t="s">
        <v>244</v>
      </c>
      <c r="W20" s="84" t="str">
        <f t="shared" si="1"/>
        <v>CON-135</v>
      </c>
      <c r="X20" s="87">
        <v>80111600</v>
      </c>
      <c r="Y20" s="34" t="s">
        <v>516</v>
      </c>
      <c r="Z20" s="61">
        <v>44963</v>
      </c>
      <c r="AA20" s="61">
        <v>44963</v>
      </c>
      <c r="AB20" s="62">
        <v>5</v>
      </c>
      <c r="AC20" s="63" t="s">
        <v>241</v>
      </c>
      <c r="AD20" s="64" t="s">
        <v>242</v>
      </c>
      <c r="AE20" s="50">
        <v>5065450</v>
      </c>
      <c r="AF20" s="50">
        <v>5065450</v>
      </c>
      <c r="AG20" s="65" t="s">
        <v>244</v>
      </c>
      <c r="AH20" s="65" t="s">
        <v>245</v>
      </c>
      <c r="AI20" s="66" t="s">
        <v>246</v>
      </c>
      <c r="AJ20" s="67" t="s">
        <v>247</v>
      </c>
      <c r="AK20" s="68" t="s">
        <v>372</v>
      </c>
      <c r="AL20" s="69" t="s">
        <v>248</v>
      </c>
      <c r="AM20" s="70" t="s">
        <v>249</v>
      </c>
      <c r="AN20" s="65" t="s">
        <v>244</v>
      </c>
      <c r="AO20" s="65" t="s">
        <v>244</v>
      </c>
      <c r="AP20" s="71" t="s">
        <v>250</v>
      </c>
      <c r="AQ20" s="72" t="s">
        <v>251</v>
      </c>
      <c r="AR20" s="72" t="s">
        <v>252</v>
      </c>
      <c r="AS20" s="72" t="s">
        <v>250</v>
      </c>
      <c r="AT20" s="72"/>
      <c r="AU20" s="72"/>
    </row>
    <row r="21" spans="1:47" ht="33.75" x14ac:dyDescent="0.2">
      <c r="A21" s="44">
        <v>136</v>
      </c>
      <c r="B21" s="33" t="s">
        <v>90</v>
      </c>
      <c r="C21" s="33" t="s">
        <v>78</v>
      </c>
      <c r="D21" s="33" t="s">
        <v>375</v>
      </c>
      <c r="E21" s="33"/>
      <c r="F21" s="45" t="s">
        <v>374</v>
      </c>
      <c r="G21" s="45" t="s">
        <v>69</v>
      </c>
      <c r="H21" s="45" t="s">
        <v>28</v>
      </c>
      <c r="I21" s="75">
        <v>862004</v>
      </c>
      <c r="J21" s="195">
        <v>5</v>
      </c>
      <c r="K21" s="94">
        <v>4310020</v>
      </c>
      <c r="L21" s="59">
        <v>44968</v>
      </c>
      <c r="M21" s="58">
        <v>45097</v>
      </c>
      <c r="N21" s="78">
        <v>4310020</v>
      </c>
      <c r="O21" s="86"/>
      <c r="P21" s="86"/>
      <c r="Q21" s="78">
        <v>0</v>
      </c>
      <c r="R21" s="80">
        <v>4310020</v>
      </c>
      <c r="S21" s="87" t="s">
        <v>243</v>
      </c>
      <c r="T21" s="82" t="s">
        <v>373</v>
      </c>
      <c r="U21" s="88" t="s">
        <v>361</v>
      </c>
      <c r="V21" s="83" t="s">
        <v>244</v>
      </c>
      <c r="W21" s="84" t="str">
        <f t="shared" si="1"/>
        <v>CON-136</v>
      </c>
      <c r="X21" s="87">
        <v>80111600</v>
      </c>
      <c r="Y21" s="34" t="s">
        <v>516</v>
      </c>
      <c r="Z21" s="61">
        <v>44963</v>
      </c>
      <c r="AA21" s="61">
        <v>44963</v>
      </c>
      <c r="AB21" s="62">
        <v>5</v>
      </c>
      <c r="AC21" s="63" t="s">
        <v>241</v>
      </c>
      <c r="AD21" s="64" t="s">
        <v>242</v>
      </c>
      <c r="AE21" s="50">
        <v>4310020</v>
      </c>
      <c r="AF21" s="50">
        <v>4310020</v>
      </c>
      <c r="AG21" s="65" t="s">
        <v>244</v>
      </c>
      <c r="AH21" s="65" t="s">
        <v>245</v>
      </c>
      <c r="AI21" s="66" t="s">
        <v>246</v>
      </c>
      <c r="AJ21" s="67" t="s">
        <v>247</v>
      </c>
      <c r="AK21" s="68" t="s">
        <v>372</v>
      </c>
      <c r="AL21" s="69" t="s">
        <v>248</v>
      </c>
      <c r="AM21" s="70" t="s">
        <v>249</v>
      </c>
      <c r="AN21" s="65" t="s">
        <v>244</v>
      </c>
      <c r="AO21" s="65" t="s">
        <v>244</v>
      </c>
      <c r="AP21" s="71" t="s">
        <v>250</v>
      </c>
      <c r="AQ21" s="72" t="s">
        <v>251</v>
      </c>
      <c r="AR21" s="72" t="s">
        <v>252</v>
      </c>
      <c r="AS21" s="72" t="s">
        <v>250</v>
      </c>
      <c r="AT21" s="72"/>
      <c r="AU21" s="72"/>
    </row>
    <row r="22" spans="1:47" ht="33.75" x14ac:dyDescent="0.2">
      <c r="A22" s="44">
        <v>137</v>
      </c>
      <c r="B22" s="33" t="s">
        <v>90</v>
      </c>
      <c r="C22" s="33" t="s">
        <v>78</v>
      </c>
      <c r="D22" s="33" t="s">
        <v>375</v>
      </c>
      <c r="E22" s="33"/>
      <c r="F22" s="45" t="s">
        <v>374</v>
      </c>
      <c r="G22" s="45" t="s">
        <v>67</v>
      </c>
      <c r="H22" s="45" t="s">
        <v>28</v>
      </c>
      <c r="I22" s="75">
        <v>1013090</v>
      </c>
      <c r="J22" s="195">
        <v>5</v>
      </c>
      <c r="K22" s="94">
        <v>5065450</v>
      </c>
      <c r="L22" s="59">
        <v>44968</v>
      </c>
      <c r="M22" s="58">
        <v>45097</v>
      </c>
      <c r="N22" s="78">
        <v>5065450</v>
      </c>
      <c r="O22" s="86"/>
      <c r="P22" s="86"/>
      <c r="Q22" s="78">
        <v>0</v>
      </c>
      <c r="R22" s="80">
        <v>5065450</v>
      </c>
      <c r="S22" s="87" t="s">
        <v>243</v>
      </c>
      <c r="T22" s="82" t="s">
        <v>373</v>
      </c>
      <c r="U22" s="88" t="s">
        <v>361</v>
      </c>
      <c r="V22" s="83" t="s">
        <v>244</v>
      </c>
      <c r="W22" s="84" t="str">
        <f t="shared" si="1"/>
        <v>CON-137</v>
      </c>
      <c r="X22" s="87">
        <v>80111600</v>
      </c>
      <c r="Y22" s="34" t="s">
        <v>516</v>
      </c>
      <c r="Z22" s="61">
        <v>44963</v>
      </c>
      <c r="AA22" s="61">
        <v>44963</v>
      </c>
      <c r="AB22" s="62">
        <v>5</v>
      </c>
      <c r="AC22" s="63" t="s">
        <v>241</v>
      </c>
      <c r="AD22" s="64" t="s">
        <v>242</v>
      </c>
      <c r="AE22" s="50">
        <v>5065450</v>
      </c>
      <c r="AF22" s="50">
        <v>5065450</v>
      </c>
      <c r="AG22" s="65" t="s">
        <v>244</v>
      </c>
      <c r="AH22" s="65" t="s">
        <v>245</v>
      </c>
      <c r="AI22" s="66" t="s">
        <v>246</v>
      </c>
      <c r="AJ22" s="67" t="s">
        <v>247</v>
      </c>
      <c r="AK22" s="68" t="s">
        <v>372</v>
      </c>
      <c r="AL22" s="69" t="s">
        <v>248</v>
      </c>
      <c r="AM22" s="70" t="s">
        <v>249</v>
      </c>
      <c r="AN22" s="65" t="s">
        <v>244</v>
      </c>
      <c r="AO22" s="65" t="s">
        <v>244</v>
      </c>
      <c r="AP22" s="71" t="s">
        <v>250</v>
      </c>
      <c r="AQ22" s="72" t="s">
        <v>251</v>
      </c>
      <c r="AR22" s="72" t="s">
        <v>252</v>
      </c>
      <c r="AS22" s="72" t="s">
        <v>250</v>
      </c>
      <c r="AT22" s="72"/>
      <c r="AU22" s="72"/>
    </row>
    <row r="23" spans="1:47" ht="33.75" x14ac:dyDescent="0.2">
      <c r="A23" s="44">
        <v>138</v>
      </c>
      <c r="B23" s="33" t="s">
        <v>90</v>
      </c>
      <c r="C23" s="33" t="s">
        <v>78</v>
      </c>
      <c r="D23" s="33" t="s">
        <v>375</v>
      </c>
      <c r="E23" s="33"/>
      <c r="F23" s="45" t="s">
        <v>374</v>
      </c>
      <c r="G23" s="45" t="s">
        <v>67</v>
      </c>
      <c r="H23" s="45" t="s">
        <v>28</v>
      </c>
      <c r="I23" s="75">
        <v>4621987</v>
      </c>
      <c r="J23" s="195">
        <v>5</v>
      </c>
      <c r="K23" s="94">
        <v>23109935</v>
      </c>
      <c r="L23" s="59">
        <v>44965</v>
      </c>
      <c r="M23" s="58">
        <v>45097</v>
      </c>
      <c r="N23" s="80">
        <v>23109935</v>
      </c>
      <c r="O23" s="86"/>
      <c r="P23" s="86"/>
      <c r="Q23" s="78">
        <v>0</v>
      </c>
      <c r="R23" s="80">
        <v>23109935</v>
      </c>
      <c r="S23" s="87" t="s">
        <v>243</v>
      </c>
      <c r="T23" s="82" t="s">
        <v>373</v>
      </c>
      <c r="U23" s="88" t="s">
        <v>361</v>
      </c>
      <c r="V23" s="83" t="s">
        <v>244</v>
      </c>
      <c r="W23" s="84" t="str">
        <f t="shared" si="1"/>
        <v>CON-138</v>
      </c>
      <c r="X23" s="87">
        <v>80111600</v>
      </c>
      <c r="Y23" s="34" t="s">
        <v>516</v>
      </c>
      <c r="Z23" s="61">
        <v>44963</v>
      </c>
      <c r="AA23" s="61">
        <v>44963</v>
      </c>
      <c r="AB23" s="62">
        <v>5</v>
      </c>
      <c r="AC23" s="63" t="s">
        <v>241</v>
      </c>
      <c r="AD23" s="64" t="s">
        <v>242</v>
      </c>
      <c r="AE23" s="196">
        <v>23109935</v>
      </c>
      <c r="AF23" s="196">
        <v>23109935</v>
      </c>
      <c r="AG23" s="65" t="s">
        <v>244</v>
      </c>
      <c r="AH23" s="65" t="s">
        <v>245</v>
      </c>
      <c r="AI23" s="66" t="s">
        <v>246</v>
      </c>
      <c r="AJ23" s="67" t="s">
        <v>247</v>
      </c>
      <c r="AK23" s="68" t="s">
        <v>372</v>
      </c>
      <c r="AL23" s="69" t="s">
        <v>248</v>
      </c>
      <c r="AM23" s="70" t="s">
        <v>249</v>
      </c>
      <c r="AN23" s="65" t="s">
        <v>244</v>
      </c>
      <c r="AO23" s="65" t="s">
        <v>244</v>
      </c>
      <c r="AP23" s="71" t="s">
        <v>250</v>
      </c>
      <c r="AQ23" s="72" t="s">
        <v>251</v>
      </c>
      <c r="AR23" s="72" t="s">
        <v>252</v>
      </c>
      <c r="AS23" s="72" t="s">
        <v>250</v>
      </c>
      <c r="AT23" s="72"/>
      <c r="AU23" s="72"/>
    </row>
    <row r="24" spans="1:47" ht="33.75" x14ac:dyDescent="0.2">
      <c r="A24" s="44">
        <v>139</v>
      </c>
      <c r="B24" s="33" t="s">
        <v>90</v>
      </c>
      <c r="C24" s="33" t="s">
        <v>78</v>
      </c>
      <c r="D24" s="33" t="s">
        <v>375</v>
      </c>
      <c r="E24" s="33"/>
      <c r="F24" s="45" t="s">
        <v>374</v>
      </c>
      <c r="G24" s="45" t="s">
        <v>69</v>
      </c>
      <c r="H24" s="45" t="s">
        <v>28</v>
      </c>
      <c r="I24" s="75">
        <v>1871672</v>
      </c>
      <c r="J24" s="195">
        <v>5</v>
      </c>
      <c r="K24" s="94">
        <v>9358360</v>
      </c>
      <c r="L24" s="59">
        <v>44965</v>
      </c>
      <c r="M24" s="58">
        <v>45097</v>
      </c>
      <c r="N24" s="78">
        <v>9358360</v>
      </c>
      <c r="O24" s="86"/>
      <c r="P24" s="86"/>
      <c r="Q24" s="78">
        <v>0</v>
      </c>
      <c r="R24" s="80">
        <v>9358360</v>
      </c>
      <c r="S24" s="87" t="s">
        <v>243</v>
      </c>
      <c r="T24" s="82" t="s">
        <v>373</v>
      </c>
      <c r="U24" s="88" t="s">
        <v>361</v>
      </c>
      <c r="V24" s="83" t="s">
        <v>244</v>
      </c>
      <c r="W24" s="84" t="str">
        <f t="shared" si="1"/>
        <v>CON-139</v>
      </c>
      <c r="X24" s="87">
        <v>80111600</v>
      </c>
      <c r="Y24" s="197" t="s">
        <v>516</v>
      </c>
      <c r="Z24" s="61">
        <v>44963</v>
      </c>
      <c r="AA24" s="61">
        <v>44963</v>
      </c>
      <c r="AB24" s="62">
        <v>5</v>
      </c>
      <c r="AC24" s="63" t="s">
        <v>241</v>
      </c>
      <c r="AD24" s="64" t="s">
        <v>242</v>
      </c>
      <c r="AE24" s="50">
        <v>9358360</v>
      </c>
      <c r="AF24" s="50">
        <v>9358360</v>
      </c>
      <c r="AG24" s="65" t="s">
        <v>244</v>
      </c>
      <c r="AH24" s="65" t="s">
        <v>245</v>
      </c>
      <c r="AI24" s="66" t="s">
        <v>246</v>
      </c>
      <c r="AJ24" s="67" t="s">
        <v>247</v>
      </c>
      <c r="AK24" s="68" t="s">
        <v>372</v>
      </c>
      <c r="AL24" s="69" t="s">
        <v>248</v>
      </c>
      <c r="AM24" s="70" t="s">
        <v>249</v>
      </c>
      <c r="AN24" s="65" t="s">
        <v>244</v>
      </c>
      <c r="AO24" s="65" t="s">
        <v>244</v>
      </c>
      <c r="AP24" s="71" t="s">
        <v>250</v>
      </c>
      <c r="AQ24" s="72" t="s">
        <v>251</v>
      </c>
      <c r="AR24" s="72" t="s">
        <v>252</v>
      </c>
      <c r="AS24" s="72" t="s">
        <v>250</v>
      </c>
      <c r="AT24" s="72"/>
      <c r="AU24" s="72"/>
    </row>
    <row r="25" spans="1:47" ht="33.75" x14ac:dyDescent="0.2">
      <c r="A25" s="44">
        <v>140</v>
      </c>
      <c r="B25" s="33" t="s">
        <v>90</v>
      </c>
      <c r="C25" s="33" t="s">
        <v>78</v>
      </c>
      <c r="D25" s="33" t="s">
        <v>375</v>
      </c>
      <c r="E25" s="33"/>
      <c r="F25" s="45" t="s">
        <v>374</v>
      </c>
      <c r="G25" s="45" t="s">
        <v>69</v>
      </c>
      <c r="H25" s="45" t="s">
        <v>28</v>
      </c>
      <c r="I25" s="75">
        <v>1924813</v>
      </c>
      <c r="J25" s="195">
        <v>5</v>
      </c>
      <c r="K25" s="94">
        <v>9624065</v>
      </c>
      <c r="L25" s="59">
        <v>44965</v>
      </c>
      <c r="M25" s="58">
        <v>45097</v>
      </c>
      <c r="N25" s="78">
        <v>9624065</v>
      </c>
      <c r="O25" s="86"/>
      <c r="P25" s="86"/>
      <c r="Q25" s="78">
        <v>0</v>
      </c>
      <c r="R25" s="80">
        <v>9624065</v>
      </c>
      <c r="S25" s="87" t="s">
        <v>243</v>
      </c>
      <c r="T25" s="82" t="s">
        <v>373</v>
      </c>
      <c r="U25" s="88" t="s">
        <v>361</v>
      </c>
      <c r="V25" s="83" t="s">
        <v>244</v>
      </c>
      <c r="W25" s="84" t="str">
        <f t="shared" si="1"/>
        <v>CON-140</v>
      </c>
      <c r="X25" s="87">
        <v>80111600</v>
      </c>
      <c r="Y25" s="197" t="s">
        <v>516</v>
      </c>
      <c r="Z25" s="61">
        <v>44963</v>
      </c>
      <c r="AA25" s="61">
        <v>44963</v>
      </c>
      <c r="AB25" s="62">
        <v>5</v>
      </c>
      <c r="AC25" s="63" t="s">
        <v>241</v>
      </c>
      <c r="AD25" s="64" t="s">
        <v>242</v>
      </c>
      <c r="AE25" s="50">
        <v>9624065</v>
      </c>
      <c r="AF25" s="50">
        <v>9624065</v>
      </c>
      <c r="AG25" s="65" t="s">
        <v>244</v>
      </c>
      <c r="AH25" s="65" t="s">
        <v>245</v>
      </c>
      <c r="AI25" s="66" t="s">
        <v>246</v>
      </c>
      <c r="AJ25" s="67" t="s">
        <v>247</v>
      </c>
      <c r="AK25" s="68" t="s">
        <v>372</v>
      </c>
      <c r="AL25" s="69" t="s">
        <v>248</v>
      </c>
      <c r="AM25" s="70" t="s">
        <v>249</v>
      </c>
      <c r="AN25" s="65" t="s">
        <v>244</v>
      </c>
      <c r="AO25" s="65" t="s">
        <v>244</v>
      </c>
      <c r="AP25" s="71" t="s">
        <v>250</v>
      </c>
      <c r="AQ25" s="72" t="s">
        <v>251</v>
      </c>
      <c r="AR25" s="72" t="s">
        <v>252</v>
      </c>
      <c r="AS25" s="72" t="s">
        <v>250</v>
      </c>
      <c r="AT25" s="72"/>
      <c r="AU25" s="72"/>
    </row>
    <row r="26" spans="1:47" ht="33.75" x14ac:dyDescent="0.2">
      <c r="A26" s="44">
        <v>141</v>
      </c>
      <c r="B26" s="33" t="s">
        <v>90</v>
      </c>
      <c r="C26" s="33" t="s">
        <v>78</v>
      </c>
      <c r="D26" s="33" t="s">
        <v>375</v>
      </c>
      <c r="E26" s="33"/>
      <c r="F26" s="45" t="s">
        <v>374</v>
      </c>
      <c r="G26" s="45" t="s">
        <v>69</v>
      </c>
      <c r="H26" s="45" t="s">
        <v>28</v>
      </c>
      <c r="I26" s="75">
        <v>1924813</v>
      </c>
      <c r="J26" s="195">
        <v>5</v>
      </c>
      <c r="K26" s="94">
        <v>9624065</v>
      </c>
      <c r="L26" s="59">
        <v>44965</v>
      </c>
      <c r="M26" s="58">
        <v>45097</v>
      </c>
      <c r="N26" s="78">
        <v>9624065</v>
      </c>
      <c r="O26" s="86"/>
      <c r="P26" s="86"/>
      <c r="Q26" s="78">
        <v>0</v>
      </c>
      <c r="R26" s="80">
        <v>9624065</v>
      </c>
      <c r="S26" s="87" t="s">
        <v>243</v>
      </c>
      <c r="T26" s="82" t="s">
        <v>373</v>
      </c>
      <c r="U26" s="88" t="s">
        <v>361</v>
      </c>
      <c r="V26" s="83" t="s">
        <v>244</v>
      </c>
      <c r="W26" s="84" t="str">
        <f t="shared" si="1"/>
        <v>CON-141</v>
      </c>
      <c r="X26" s="87">
        <v>80111600</v>
      </c>
      <c r="Y26" s="197" t="s">
        <v>516</v>
      </c>
      <c r="Z26" s="61">
        <v>44963</v>
      </c>
      <c r="AA26" s="61">
        <v>44963</v>
      </c>
      <c r="AB26" s="62">
        <v>5</v>
      </c>
      <c r="AC26" s="63" t="s">
        <v>241</v>
      </c>
      <c r="AD26" s="64" t="s">
        <v>242</v>
      </c>
      <c r="AE26" s="50">
        <v>9624065</v>
      </c>
      <c r="AF26" s="50">
        <v>9624065</v>
      </c>
      <c r="AG26" s="65" t="s">
        <v>244</v>
      </c>
      <c r="AH26" s="65" t="s">
        <v>245</v>
      </c>
      <c r="AI26" s="66" t="s">
        <v>246</v>
      </c>
      <c r="AJ26" s="67" t="s">
        <v>247</v>
      </c>
      <c r="AK26" s="68" t="s">
        <v>372</v>
      </c>
      <c r="AL26" s="69" t="s">
        <v>248</v>
      </c>
      <c r="AM26" s="70" t="s">
        <v>249</v>
      </c>
      <c r="AN26" s="65" t="s">
        <v>244</v>
      </c>
      <c r="AO26" s="65" t="s">
        <v>244</v>
      </c>
      <c r="AP26" s="71" t="s">
        <v>250</v>
      </c>
      <c r="AQ26" s="72" t="s">
        <v>251</v>
      </c>
      <c r="AR26" s="72" t="s">
        <v>252</v>
      </c>
      <c r="AS26" s="72" t="s">
        <v>250</v>
      </c>
      <c r="AT26" s="72"/>
      <c r="AU26" s="72"/>
    </row>
    <row r="27" spans="1:47" ht="33.75" x14ac:dyDescent="0.2">
      <c r="A27" s="44">
        <v>142</v>
      </c>
      <c r="B27" s="33" t="s">
        <v>90</v>
      </c>
      <c r="C27" s="33" t="s">
        <v>78</v>
      </c>
      <c r="D27" s="33" t="s">
        <v>375</v>
      </c>
      <c r="E27" s="33"/>
      <c r="F27" s="45" t="s">
        <v>374</v>
      </c>
      <c r="G27" s="45" t="s">
        <v>69</v>
      </c>
      <c r="H27" s="45" t="s">
        <v>28</v>
      </c>
      <c r="I27" s="75">
        <v>1592685</v>
      </c>
      <c r="J27" s="195">
        <v>5</v>
      </c>
      <c r="K27" s="94">
        <v>7963425</v>
      </c>
      <c r="L27" s="59">
        <v>44968</v>
      </c>
      <c r="M27" s="58">
        <v>45097</v>
      </c>
      <c r="N27" s="78">
        <v>7963425</v>
      </c>
      <c r="O27" s="86"/>
      <c r="P27" s="86"/>
      <c r="Q27" s="78">
        <v>0</v>
      </c>
      <c r="R27" s="80">
        <v>7963425</v>
      </c>
      <c r="S27" s="87" t="s">
        <v>243</v>
      </c>
      <c r="T27" s="82" t="s">
        <v>373</v>
      </c>
      <c r="U27" s="88" t="s">
        <v>361</v>
      </c>
      <c r="V27" s="83" t="s">
        <v>244</v>
      </c>
      <c r="W27" s="84" t="str">
        <f t="shared" si="1"/>
        <v>CON-142</v>
      </c>
      <c r="X27" s="87">
        <v>80111600</v>
      </c>
      <c r="Y27" s="197" t="s">
        <v>516</v>
      </c>
      <c r="Z27" s="61">
        <v>44963</v>
      </c>
      <c r="AA27" s="61">
        <v>44963</v>
      </c>
      <c r="AB27" s="62">
        <v>5</v>
      </c>
      <c r="AC27" s="63" t="s">
        <v>241</v>
      </c>
      <c r="AD27" s="64" t="s">
        <v>242</v>
      </c>
      <c r="AE27" s="50">
        <v>7963425</v>
      </c>
      <c r="AF27" s="50">
        <v>7963425</v>
      </c>
      <c r="AG27" s="65" t="s">
        <v>244</v>
      </c>
      <c r="AH27" s="65" t="s">
        <v>245</v>
      </c>
      <c r="AI27" s="66" t="s">
        <v>246</v>
      </c>
      <c r="AJ27" s="67" t="s">
        <v>247</v>
      </c>
      <c r="AK27" s="68" t="s">
        <v>372</v>
      </c>
      <c r="AL27" s="69" t="s">
        <v>248</v>
      </c>
      <c r="AM27" s="70" t="s">
        <v>249</v>
      </c>
      <c r="AN27" s="65" t="s">
        <v>244</v>
      </c>
      <c r="AO27" s="65" t="s">
        <v>244</v>
      </c>
      <c r="AP27" s="71" t="s">
        <v>250</v>
      </c>
      <c r="AQ27" s="72" t="s">
        <v>251</v>
      </c>
      <c r="AR27" s="72" t="s">
        <v>252</v>
      </c>
      <c r="AS27" s="72" t="s">
        <v>250</v>
      </c>
      <c r="AT27" s="72"/>
      <c r="AU27" s="72"/>
    </row>
    <row r="28" spans="1:47" ht="33.75" x14ac:dyDescent="0.2">
      <c r="A28" s="44">
        <v>143</v>
      </c>
      <c r="B28" s="33" t="s">
        <v>90</v>
      </c>
      <c r="C28" s="33" t="s">
        <v>78</v>
      </c>
      <c r="D28" s="33" t="s">
        <v>375</v>
      </c>
      <c r="E28" s="33"/>
      <c r="F28" s="45" t="s">
        <v>374</v>
      </c>
      <c r="G28" s="45" t="s">
        <v>69</v>
      </c>
      <c r="H28" s="45" t="s">
        <v>28</v>
      </c>
      <c r="I28" s="75">
        <v>2997721</v>
      </c>
      <c r="J28" s="195">
        <v>5</v>
      </c>
      <c r="K28" s="94">
        <v>14988605</v>
      </c>
      <c r="L28" s="59">
        <v>44968</v>
      </c>
      <c r="M28" s="58">
        <v>45097</v>
      </c>
      <c r="N28" s="78">
        <v>14988605</v>
      </c>
      <c r="O28" s="86"/>
      <c r="P28" s="86"/>
      <c r="Q28" s="78">
        <v>0</v>
      </c>
      <c r="R28" s="80">
        <v>14988605</v>
      </c>
      <c r="S28" s="87" t="s">
        <v>243</v>
      </c>
      <c r="T28" s="82" t="s">
        <v>373</v>
      </c>
      <c r="U28" s="88" t="s">
        <v>361</v>
      </c>
      <c r="V28" s="83" t="s">
        <v>244</v>
      </c>
      <c r="W28" s="84" t="str">
        <f t="shared" si="1"/>
        <v>CON-143</v>
      </c>
      <c r="X28" s="87">
        <v>80111600</v>
      </c>
      <c r="Y28" s="197" t="s">
        <v>516</v>
      </c>
      <c r="Z28" s="61">
        <v>44963</v>
      </c>
      <c r="AA28" s="61">
        <v>44963</v>
      </c>
      <c r="AB28" s="62">
        <v>5</v>
      </c>
      <c r="AC28" s="63" t="s">
        <v>241</v>
      </c>
      <c r="AD28" s="64" t="s">
        <v>242</v>
      </c>
      <c r="AE28" s="50">
        <v>14988605</v>
      </c>
      <c r="AF28" s="50">
        <v>14988605</v>
      </c>
      <c r="AG28" s="65" t="s">
        <v>244</v>
      </c>
      <c r="AH28" s="65" t="s">
        <v>245</v>
      </c>
      <c r="AI28" s="66" t="s">
        <v>246</v>
      </c>
      <c r="AJ28" s="67" t="s">
        <v>247</v>
      </c>
      <c r="AK28" s="68" t="s">
        <v>372</v>
      </c>
      <c r="AL28" s="69" t="s">
        <v>248</v>
      </c>
      <c r="AM28" s="70" t="s">
        <v>249</v>
      </c>
      <c r="AN28" s="65" t="s">
        <v>244</v>
      </c>
      <c r="AO28" s="65" t="s">
        <v>244</v>
      </c>
      <c r="AP28" s="71" t="s">
        <v>250</v>
      </c>
      <c r="AQ28" s="72" t="s">
        <v>251</v>
      </c>
      <c r="AR28" s="72" t="s">
        <v>252</v>
      </c>
      <c r="AS28" s="72" t="s">
        <v>250</v>
      </c>
      <c r="AT28" s="72"/>
      <c r="AU28" s="72"/>
    </row>
    <row r="29" spans="1:47" ht="33.75" x14ac:dyDescent="0.2">
      <c r="A29" s="44">
        <v>144</v>
      </c>
      <c r="B29" s="33" t="s">
        <v>90</v>
      </c>
      <c r="C29" s="33" t="s">
        <v>78</v>
      </c>
      <c r="D29" s="33" t="s">
        <v>375</v>
      </c>
      <c r="E29" s="33"/>
      <c r="F29" s="45" t="s">
        <v>374</v>
      </c>
      <c r="G29" s="45" t="s">
        <v>69</v>
      </c>
      <c r="H29" s="45" t="s">
        <v>28</v>
      </c>
      <c r="I29" s="75">
        <v>1924813</v>
      </c>
      <c r="J29" s="195">
        <v>5</v>
      </c>
      <c r="K29" s="94">
        <v>9624065</v>
      </c>
      <c r="L29" s="59">
        <v>44968</v>
      </c>
      <c r="M29" s="58">
        <v>45097</v>
      </c>
      <c r="N29" s="78">
        <v>9624065</v>
      </c>
      <c r="O29" s="86"/>
      <c r="P29" s="86"/>
      <c r="Q29" s="78">
        <v>0</v>
      </c>
      <c r="R29" s="80">
        <v>9624065</v>
      </c>
      <c r="S29" s="87" t="s">
        <v>243</v>
      </c>
      <c r="T29" s="82" t="s">
        <v>373</v>
      </c>
      <c r="U29" s="88" t="s">
        <v>361</v>
      </c>
      <c r="V29" s="83" t="s">
        <v>244</v>
      </c>
      <c r="W29" s="84" t="str">
        <f t="shared" si="1"/>
        <v>CON-144</v>
      </c>
      <c r="X29" s="87">
        <v>80111600</v>
      </c>
      <c r="Y29" s="197" t="s">
        <v>516</v>
      </c>
      <c r="Z29" s="61">
        <v>44963</v>
      </c>
      <c r="AA29" s="61">
        <v>44963</v>
      </c>
      <c r="AB29" s="62">
        <v>5</v>
      </c>
      <c r="AC29" s="63" t="s">
        <v>241</v>
      </c>
      <c r="AD29" s="64" t="s">
        <v>242</v>
      </c>
      <c r="AE29" s="50">
        <v>9624065</v>
      </c>
      <c r="AF29" s="50">
        <v>9624065</v>
      </c>
      <c r="AG29" s="65" t="s">
        <v>244</v>
      </c>
      <c r="AH29" s="65" t="s">
        <v>245</v>
      </c>
      <c r="AI29" s="66" t="s">
        <v>246</v>
      </c>
      <c r="AJ29" s="67" t="s">
        <v>247</v>
      </c>
      <c r="AK29" s="68" t="s">
        <v>372</v>
      </c>
      <c r="AL29" s="69" t="s">
        <v>248</v>
      </c>
      <c r="AM29" s="70" t="s">
        <v>249</v>
      </c>
      <c r="AN29" s="65" t="s">
        <v>244</v>
      </c>
      <c r="AO29" s="65" t="s">
        <v>244</v>
      </c>
      <c r="AP29" s="71" t="s">
        <v>250</v>
      </c>
      <c r="AQ29" s="72" t="s">
        <v>251</v>
      </c>
      <c r="AR29" s="72" t="s">
        <v>252</v>
      </c>
      <c r="AS29" s="72" t="s">
        <v>250</v>
      </c>
      <c r="AT29" s="72"/>
      <c r="AU29" s="72"/>
    </row>
    <row r="30" spans="1:47" ht="33.75" x14ac:dyDescent="0.2">
      <c r="A30" s="44">
        <v>145</v>
      </c>
      <c r="B30" s="33" t="s">
        <v>90</v>
      </c>
      <c r="C30" s="33" t="s">
        <v>78</v>
      </c>
      <c r="D30" s="33" t="s">
        <v>375</v>
      </c>
      <c r="E30" s="33"/>
      <c r="F30" s="45" t="s">
        <v>374</v>
      </c>
      <c r="G30" s="45" t="s">
        <v>69</v>
      </c>
      <c r="H30" s="45" t="s">
        <v>28</v>
      </c>
      <c r="I30" s="75">
        <v>2456217</v>
      </c>
      <c r="J30" s="195">
        <v>5</v>
      </c>
      <c r="K30" s="94">
        <v>12281085</v>
      </c>
      <c r="L30" s="59">
        <v>44970</v>
      </c>
      <c r="M30" s="58">
        <v>45097</v>
      </c>
      <c r="N30" s="78">
        <v>12281085</v>
      </c>
      <c r="O30" s="86"/>
      <c r="P30" s="86"/>
      <c r="Q30" s="78">
        <v>0</v>
      </c>
      <c r="R30" s="80">
        <v>12281085</v>
      </c>
      <c r="S30" s="87" t="s">
        <v>243</v>
      </c>
      <c r="T30" s="82" t="s">
        <v>373</v>
      </c>
      <c r="U30" s="88" t="s">
        <v>361</v>
      </c>
      <c r="V30" s="83" t="s">
        <v>244</v>
      </c>
      <c r="W30" s="84" t="str">
        <f t="shared" si="1"/>
        <v>CON-145</v>
      </c>
      <c r="X30" s="87">
        <v>80111600</v>
      </c>
      <c r="Y30" s="197" t="s">
        <v>516</v>
      </c>
      <c r="Z30" s="61">
        <v>44963</v>
      </c>
      <c r="AA30" s="61">
        <v>44963</v>
      </c>
      <c r="AB30" s="62">
        <v>5</v>
      </c>
      <c r="AC30" s="63" t="s">
        <v>241</v>
      </c>
      <c r="AD30" s="64" t="s">
        <v>242</v>
      </c>
      <c r="AE30" s="50">
        <v>12281085</v>
      </c>
      <c r="AF30" s="50">
        <v>12281085</v>
      </c>
      <c r="AG30" s="65" t="s">
        <v>244</v>
      </c>
      <c r="AH30" s="65" t="s">
        <v>245</v>
      </c>
      <c r="AI30" s="66" t="s">
        <v>246</v>
      </c>
      <c r="AJ30" s="67" t="s">
        <v>247</v>
      </c>
      <c r="AK30" s="68" t="s">
        <v>372</v>
      </c>
      <c r="AL30" s="69" t="s">
        <v>248</v>
      </c>
      <c r="AM30" s="70" t="s">
        <v>249</v>
      </c>
      <c r="AN30" s="65" t="s">
        <v>244</v>
      </c>
      <c r="AO30" s="65" t="s">
        <v>244</v>
      </c>
      <c r="AP30" s="71" t="s">
        <v>250</v>
      </c>
      <c r="AQ30" s="72" t="s">
        <v>251</v>
      </c>
      <c r="AR30" s="72" t="s">
        <v>252</v>
      </c>
      <c r="AS30" s="72" t="s">
        <v>250</v>
      </c>
      <c r="AT30" s="72"/>
      <c r="AU30" s="72"/>
    </row>
    <row r="31" spans="1:47" ht="33.75" x14ac:dyDescent="0.2">
      <c r="A31" s="44">
        <v>146</v>
      </c>
      <c r="B31" s="33" t="s">
        <v>90</v>
      </c>
      <c r="C31" s="33" t="s">
        <v>78</v>
      </c>
      <c r="D31" s="33" t="s">
        <v>375</v>
      </c>
      <c r="E31" s="33"/>
      <c r="F31" s="45" t="s">
        <v>374</v>
      </c>
      <c r="G31" s="45" t="s">
        <v>69</v>
      </c>
      <c r="H31" s="45" t="s">
        <v>28</v>
      </c>
      <c r="I31" s="75">
        <v>4048979</v>
      </c>
      <c r="J31" s="195">
        <v>5</v>
      </c>
      <c r="K31" s="94">
        <v>20244895</v>
      </c>
      <c r="L31" s="59">
        <v>44968</v>
      </c>
      <c r="M31" s="58">
        <v>45097</v>
      </c>
      <c r="N31" s="78">
        <v>20244895</v>
      </c>
      <c r="O31" s="86"/>
      <c r="P31" s="86"/>
      <c r="Q31" s="78">
        <v>0</v>
      </c>
      <c r="R31" s="80">
        <v>20244895</v>
      </c>
      <c r="S31" s="87" t="s">
        <v>243</v>
      </c>
      <c r="T31" s="82" t="s">
        <v>373</v>
      </c>
      <c r="U31" s="88" t="s">
        <v>361</v>
      </c>
      <c r="V31" s="83" t="s">
        <v>244</v>
      </c>
      <c r="W31" s="84" t="str">
        <f t="shared" si="1"/>
        <v>CON-146</v>
      </c>
      <c r="X31" s="87">
        <v>80111600</v>
      </c>
      <c r="Y31" s="197" t="s">
        <v>516</v>
      </c>
      <c r="Z31" s="61">
        <v>44963</v>
      </c>
      <c r="AA31" s="61">
        <v>44963</v>
      </c>
      <c r="AB31" s="62">
        <v>5</v>
      </c>
      <c r="AC31" s="63" t="s">
        <v>241</v>
      </c>
      <c r="AD31" s="64" t="s">
        <v>242</v>
      </c>
      <c r="AE31" s="50">
        <v>20244895</v>
      </c>
      <c r="AF31" s="50">
        <v>20244895</v>
      </c>
      <c r="AG31" s="65" t="s">
        <v>244</v>
      </c>
      <c r="AH31" s="65" t="s">
        <v>245</v>
      </c>
      <c r="AI31" s="66" t="s">
        <v>246</v>
      </c>
      <c r="AJ31" s="67" t="s">
        <v>247</v>
      </c>
      <c r="AK31" s="68" t="s">
        <v>372</v>
      </c>
      <c r="AL31" s="69" t="s">
        <v>248</v>
      </c>
      <c r="AM31" s="70" t="s">
        <v>249</v>
      </c>
      <c r="AN31" s="65" t="s">
        <v>244</v>
      </c>
      <c r="AO31" s="65" t="s">
        <v>244</v>
      </c>
      <c r="AP31" s="71" t="s">
        <v>250</v>
      </c>
      <c r="AQ31" s="72" t="s">
        <v>251</v>
      </c>
      <c r="AR31" s="72" t="s">
        <v>252</v>
      </c>
      <c r="AS31" s="72" t="s">
        <v>250</v>
      </c>
      <c r="AT31" s="72"/>
      <c r="AU31" s="72"/>
    </row>
    <row r="32" spans="1:47" ht="33.75" x14ac:dyDescent="0.2">
      <c r="A32" s="44">
        <v>147</v>
      </c>
      <c r="B32" s="33" t="s">
        <v>90</v>
      </c>
      <c r="C32" s="33" t="s">
        <v>78</v>
      </c>
      <c r="D32" s="33" t="s">
        <v>375</v>
      </c>
      <c r="E32" s="33"/>
      <c r="F32" s="45" t="s">
        <v>374</v>
      </c>
      <c r="G32" s="45" t="s">
        <v>69</v>
      </c>
      <c r="H32" s="45" t="s">
        <v>28</v>
      </c>
      <c r="I32" s="75"/>
      <c r="J32" s="195">
        <v>5</v>
      </c>
      <c r="K32" s="94">
        <v>9650864</v>
      </c>
      <c r="L32" s="59">
        <v>44968</v>
      </c>
      <c r="M32" s="58">
        <v>45097</v>
      </c>
      <c r="N32" s="80">
        <v>9650864</v>
      </c>
      <c r="O32" s="86"/>
      <c r="P32" s="86"/>
      <c r="Q32" s="78">
        <v>0</v>
      </c>
      <c r="R32" s="80">
        <v>9650864</v>
      </c>
      <c r="S32" s="87" t="s">
        <v>243</v>
      </c>
      <c r="T32" s="82" t="s">
        <v>373</v>
      </c>
      <c r="U32" s="88" t="s">
        <v>361</v>
      </c>
      <c r="V32" s="83" t="s">
        <v>244</v>
      </c>
      <c r="W32" s="84" t="str">
        <f t="shared" si="1"/>
        <v>CON-147</v>
      </c>
      <c r="X32" s="87">
        <v>80111600</v>
      </c>
      <c r="Y32" s="197" t="s">
        <v>516</v>
      </c>
      <c r="Z32" s="61">
        <v>44963</v>
      </c>
      <c r="AA32" s="61">
        <v>44963</v>
      </c>
      <c r="AB32" s="62">
        <v>5</v>
      </c>
      <c r="AC32" s="63" t="s">
        <v>241</v>
      </c>
      <c r="AD32" s="64" t="s">
        <v>242</v>
      </c>
      <c r="AE32" s="50">
        <v>9650864</v>
      </c>
      <c r="AF32" s="50">
        <v>9650864</v>
      </c>
      <c r="AG32" s="65" t="s">
        <v>244</v>
      </c>
      <c r="AH32" s="65" t="s">
        <v>245</v>
      </c>
      <c r="AI32" s="66" t="s">
        <v>246</v>
      </c>
      <c r="AJ32" s="67" t="s">
        <v>247</v>
      </c>
      <c r="AK32" s="68" t="s">
        <v>372</v>
      </c>
      <c r="AL32" s="69" t="s">
        <v>248</v>
      </c>
      <c r="AM32" s="70" t="s">
        <v>249</v>
      </c>
      <c r="AN32" s="65" t="s">
        <v>244</v>
      </c>
      <c r="AO32" s="65" t="s">
        <v>244</v>
      </c>
      <c r="AP32" s="71" t="s">
        <v>250</v>
      </c>
      <c r="AQ32" s="72" t="s">
        <v>251</v>
      </c>
      <c r="AR32" s="72" t="s">
        <v>252</v>
      </c>
      <c r="AS32" s="72" t="s">
        <v>250</v>
      </c>
      <c r="AT32" s="72"/>
      <c r="AU32" s="72"/>
    </row>
    <row r="33" spans="1:47" ht="33.75" x14ac:dyDescent="0.2">
      <c r="A33" s="44">
        <v>148</v>
      </c>
      <c r="B33" s="33" t="s">
        <v>90</v>
      </c>
      <c r="C33" s="33" t="s">
        <v>78</v>
      </c>
      <c r="D33" s="33" t="s">
        <v>375</v>
      </c>
      <c r="E33" s="33"/>
      <c r="F33" s="45" t="s">
        <v>374</v>
      </c>
      <c r="G33" s="45" t="s">
        <v>69</v>
      </c>
      <c r="H33" s="45" t="s">
        <v>28</v>
      </c>
      <c r="I33" s="75">
        <v>3598426</v>
      </c>
      <c r="J33" s="195">
        <v>5</v>
      </c>
      <c r="K33" s="94">
        <v>17992130</v>
      </c>
      <c r="L33" s="59">
        <v>44968</v>
      </c>
      <c r="M33" s="58">
        <v>45097</v>
      </c>
      <c r="N33" s="78">
        <v>17992130</v>
      </c>
      <c r="O33" s="86"/>
      <c r="P33" s="86"/>
      <c r="Q33" s="78">
        <v>0</v>
      </c>
      <c r="R33" s="80">
        <v>17992130</v>
      </c>
      <c r="S33" s="87" t="s">
        <v>243</v>
      </c>
      <c r="T33" s="82" t="s">
        <v>373</v>
      </c>
      <c r="U33" s="88" t="s">
        <v>361</v>
      </c>
      <c r="V33" s="83" t="s">
        <v>244</v>
      </c>
      <c r="W33" s="84" t="str">
        <f>"CON-"&amp;A33</f>
        <v>CON-148</v>
      </c>
      <c r="X33" s="87">
        <v>80111600</v>
      </c>
      <c r="Y33" s="197" t="s">
        <v>516</v>
      </c>
      <c r="Z33" s="61">
        <v>44963</v>
      </c>
      <c r="AA33" s="61">
        <v>44963</v>
      </c>
      <c r="AB33" s="62">
        <v>5</v>
      </c>
      <c r="AC33" s="63" t="s">
        <v>241</v>
      </c>
      <c r="AD33" s="64" t="s">
        <v>242</v>
      </c>
      <c r="AE33" s="50">
        <v>17992130</v>
      </c>
      <c r="AF33" s="50">
        <v>17992130</v>
      </c>
      <c r="AG33" s="65" t="s">
        <v>244</v>
      </c>
      <c r="AH33" s="65" t="s">
        <v>245</v>
      </c>
      <c r="AI33" s="66" t="s">
        <v>246</v>
      </c>
      <c r="AJ33" s="67" t="s">
        <v>247</v>
      </c>
      <c r="AK33" s="68" t="s">
        <v>372</v>
      </c>
      <c r="AL33" s="69" t="s">
        <v>248</v>
      </c>
      <c r="AM33" s="70" t="s">
        <v>249</v>
      </c>
      <c r="AN33" s="65" t="s">
        <v>244</v>
      </c>
      <c r="AO33" s="65" t="s">
        <v>244</v>
      </c>
      <c r="AP33" s="71" t="s">
        <v>250</v>
      </c>
      <c r="AQ33" s="72" t="s">
        <v>251</v>
      </c>
      <c r="AR33" s="72" t="s">
        <v>252</v>
      </c>
      <c r="AS33" s="72" t="s">
        <v>250</v>
      </c>
      <c r="AT33" s="72"/>
      <c r="AU33" s="72"/>
    </row>
    <row r="34" spans="1:47" ht="33.75" x14ac:dyDescent="0.2">
      <c r="A34" s="44">
        <v>149</v>
      </c>
      <c r="B34" s="33" t="s">
        <v>90</v>
      </c>
      <c r="C34" s="33" t="s">
        <v>78</v>
      </c>
      <c r="D34" s="33" t="s">
        <v>375</v>
      </c>
      <c r="E34" s="33"/>
      <c r="F34" s="45" t="s">
        <v>374</v>
      </c>
      <c r="G34" s="45" t="s">
        <v>69</v>
      </c>
      <c r="H34" s="45" t="s">
        <v>28</v>
      </c>
      <c r="I34" s="75">
        <v>1393409</v>
      </c>
      <c r="J34" s="195">
        <v>5</v>
      </c>
      <c r="K34" s="94">
        <v>6967045</v>
      </c>
      <c r="L34" s="59">
        <v>44968</v>
      </c>
      <c r="M34" s="58">
        <v>45097</v>
      </c>
      <c r="N34" s="78">
        <v>6967045</v>
      </c>
      <c r="O34" s="86"/>
      <c r="P34" s="86"/>
      <c r="Q34" s="78">
        <v>0</v>
      </c>
      <c r="R34" s="80">
        <v>6967045</v>
      </c>
      <c r="S34" s="87" t="s">
        <v>243</v>
      </c>
      <c r="T34" s="82" t="s">
        <v>373</v>
      </c>
      <c r="U34" s="88" t="s">
        <v>361</v>
      </c>
      <c r="V34" s="83" t="s">
        <v>244</v>
      </c>
      <c r="W34" s="84" t="str">
        <f>"CON-"&amp;A34</f>
        <v>CON-149</v>
      </c>
      <c r="X34" s="87">
        <v>80111600</v>
      </c>
      <c r="Y34" s="197" t="s">
        <v>516</v>
      </c>
      <c r="Z34" s="61">
        <v>44963</v>
      </c>
      <c r="AA34" s="61">
        <v>44963</v>
      </c>
      <c r="AB34" s="62">
        <v>5</v>
      </c>
      <c r="AC34" s="63" t="s">
        <v>241</v>
      </c>
      <c r="AD34" s="64" t="s">
        <v>242</v>
      </c>
      <c r="AE34" s="50">
        <v>6967045</v>
      </c>
      <c r="AF34" s="50">
        <v>6967045</v>
      </c>
      <c r="AG34" s="65" t="s">
        <v>244</v>
      </c>
      <c r="AH34" s="65" t="s">
        <v>245</v>
      </c>
      <c r="AI34" s="66" t="s">
        <v>246</v>
      </c>
      <c r="AJ34" s="67" t="s">
        <v>247</v>
      </c>
      <c r="AK34" s="68" t="s">
        <v>372</v>
      </c>
      <c r="AL34" s="69" t="s">
        <v>248</v>
      </c>
      <c r="AM34" s="70" t="s">
        <v>249</v>
      </c>
      <c r="AN34" s="65" t="s">
        <v>244</v>
      </c>
      <c r="AO34" s="65" t="s">
        <v>244</v>
      </c>
      <c r="AP34" s="71" t="s">
        <v>250</v>
      </c>
      <c r="AQ34" s="72" t="s">
        <v>251</v>
      </c>
      <c r="AR34" s="72" t="s">
        <v>252</v>
      </c>
      <c r="AS34" s="72" t="s">
        <v>250</v>
      </c>
      <c r="AT34" s="72"/>
      <c r="AU34" s="72"/>
    </row>
    <row r="35" spans="1:47" ht="33.75" x14ac:dyDescent="0.2">
      <c r="A35" s="44">
        <v>150</v>
      </c>
      <c r="B35" s="33" t="s">
        <v>90</v>
      </c>
      <c r="C35" s="33" t="s">
        <v>78</v>
      </c>
      <c r="D35" s="33" t="s">
        <v>375</v>
      </c>
      <c r="E35" s="33"/>
      <c r="F35" s="45" t="s">
        <v>374</v>
      </c>
      <c r="G35" s="45" t="s">
        <v>69</v>
      </c>
      <c r="H35" s="45" t="s">
        <v>28</v>
      </c>
      <c r="I35" s="75">
        <v>1393409</v>
      </c>
      <c r="J35" s="195">
        <v>5</v>
      </c>
      <c r="K35" s="94">
        <v>6967045</v>
      </c>
      <c r="L35" s="59">
        <v>44968</v>
      </c>
      <c r="M35" s="58">
        <v>45097</v>
      </c>
      <c r="N35" s="78">
        <v>6967045</v>
      </c>
      <c r="O35" s="86"/>
      <c r="P35" s="86"/>
      <c r="Q35" s="78">
        <v>0</v>
      </c>
      <c r="R35" s="80">
        <v>6967045</v>
      </c>
      <c r="S35" s="87" t="s">
        <v>243</v>
      </c>
      <c r="T35" s="82" t="s">
        <v>373</v>
      </c>
      <c r="U35" s="88" t="s">
        <v>361</v>
      </c>
      <c r="V35" s="83" t="s">
        <v>244</v>
      </c>
      <c r="W35" s="84" t="str">
        <f>"CON-"&amp;A35</f>
        <v>CON-150</v>
      </c>
      <c r="X35" s="87">
        <v>80111600</v>
      </c>
      <c r="Y35" s="197" t="s">
        <v>516</v>
      </c>
      <c r="Z35" s="61">
        <v>44963</v>
      </c>
      <c r="AA35" s="61">
        <v>44963</v>
      </c>
      <c r="AB35" s="62">
        <v>5</v>
      </c>
      <c r="AC35" s="63" t="s">
        <v>241</v>
      </c>
      <c r="AD35" s="64" t="s">
        <v>242</v>
      </c>
      <c r="AE35" s="50">
        <v>6967045</v>
      </c>
      <c r="AF35" s="50">
        <v>6967045</v>
      </c>
      <c r="AG35" s="65" t="s">
        <v>244</v>
      </c>
      <c r="AH35" s="65" t="s">
        <v>245</v>
      </c>
      <c r="AI35" s="66" t="s">
        <v>246</v>
      </c>
      <c r="AJ35" s="67" t="s">
        <v>247</v>
      </c>
      <c r="AK35" s="68" t="s">
        <v>372</v>
      </c>
      <c r="AL35" s="69" t="s">
        <v>248</v>
      </c>
      <c r="AM35" s="70" t="s">
        <v>249</v>
      </c>
      <c r="AN35" s="65" t="s">
        <v>244</v>
      </c>
      <c r="AO35" s="65" t="s">
        <v>244</v>
      </c>
      <c r="AP35" s="71" t="s">
        <v>250</v>
      </c>
      <c r="AQ35" s="72" t="s">
        <v>251</v>
      </c>
      <c r="AR35" s="72" t="s">
        <v>252</v>
      </c>
      <c r="AS35" s="72" t="s">
        <v>250</v>
      </c>
      <c r="AT35" s="72"/>
      <c r="AU35" s="72"/>
    </row>
    <row r="36" spans="1:47" ht="33.75" x14ac:dyDescent="0.2">
      <c r="A36" s="44">
        <v>151</v>
      </c>
      <c r="B36" s="33" t="s">
        <v>90</v>
      </c>
      <c r="C36" s="33" t="s">
        <v>78</v>
      </c>
      <c r="D36" s="33" t="s">
        <v>375</v>
      </c>
      <c r="E36" s="33"/>
      <c r="F36" s="45" t="s">
        <v>374</v>
      </c>
      <c r="G36" s="45" t="s">
        <v>69</v>
      </c>
      <c r="H36" s="45" t="s">
        <v>28</v>
      </c>
      <c r="I36" s="75">
        <v>1924813</v>
      </c>
      <c r="J36" s="195">
        <v>5</v>
      </c>
      <c r="K36" s="94">
        <v>9624065</v>
      </c>
      <c r="L36" s="59">
        <v>44968</v>
      </c>
      <c r="M36" s="58">
        <v>45097</v>
      </c>
      <c r="N36" s="78">
        <v>9624065</v>
      </c>
      <c r="O36" s="86"/>
      <c r="P36" s="86"/>
      <c r="Q36" s="78">
        <v>0</v>
      </c>
      <c r="R36" s="80">
        <v>9624065</v>
      </c>
      <c r="S36" s="87" t="s">
        <v>243</v>
      </c>
      <c r="T36" s="82" t="s">
        <v>373</v>
      </c>
      <c r="U36" s="88" t="s">
        <v>361</v>
      </c>
      <c r="V36" s="83" t="s">
        <v>244</v>
      </c>
      <c r="W36" s="84" t="str">
        <f t="shared" ref="W36:W44" si="2">"CON-"&amp;A36</f>
        <v>CON-151</v>
      </c>
      <c r="X36" s="87">
        <v>80111600</v>
      </c>
      <c r="Y36" s="197" t="s">
        <v>516</v>
      </c>
      <c r="Z36" s="61">
        <v>44963</v>
      </c>
      <c r="AA36" s="61">
        <v>44963</v>
      </c>
      <c r="AB36" s="62">
        <v>5</v>
      </c>
      <c r="AC36" s="63" t="s">
        <v>241</v>
      </c>
      <c r="AD36" s="64" t="s">
        <v>242</v>
      </c>
      <c r="AE36" s="50">
        <v>9624065</v>
      </c>
      <c r="AF36" s="50">
        <v>9624065</v>
      </c>
      <c r="AG36" s="65" t="s">
        <v>244</v>
      </c>
      <c r="AH36" s="65" t="s">
        <v>245</v>
      </c>
      <c r="AI36" s="66" t="s">
        <v>246</v>
      </c>
      <c r="AJ36" s="67" t="s">
        <v>247</v>
      </c>
      <c r="AK36" s="68" t="s">
        <v>372</v>
      </c>
      <c r="AL36" s="69" t="s">
        <v>248</v>
      </c>
      <c r="AM36" s="70" t="s">
        <v>249</v>
      </c>
      <c r="AN36" s="65" t="s">
        <v>244</v>
      </c>
      <c r="AO36" s="65" t="s">
        <v>244</v>
      </c>
      <c r="AP36" s="71" t="s">
        <v>250</v>
      </c>
      <c r="AQ36" s="72" t="s">
        <v>251</v>
      </c>
      <c r="AR36" s="72" t="s">
        <v>252</v>
      </c>
      <c r="AS36" s="72" t="s">
        <v>250</v>
      </c>
      <c r="AT36" s="72"/>
      <c r="AU36" s="72"/>
    </row>
    <row r="37" spans="1:47" ht="33.75" x14ac:dyDescent="0.2">
      <c r="A37" s="44">
        <v>152</v>
      </c>
      <c r="B37" s="33" t="s">
        <v>90</v>
      </c>
      <c r="C37" s="33" t="s">
        <v>78</v>
      </c>
      <c r="D37" s="33" t="s">
        <v>375</v>
      </c>
      <c r="E37" s="33"/>
      <c r="F37" s="45" t="s">
        <v>374</v>
      </c>
      <c r="G37" s="45" t="s">
        <v>69</v>
      </c>
      <c r="H37" s="45" t="s">
        <v>28</v>
      </c>
      <c r="I37" s="75">
        <v>3598426</v>
      </c>
      <c r="J37" s="195">
        <v>5</v>
      </c>
      <c r="K37" s="94">
        <v>17992130</v>
      </c>
      <c r="L37" s="59">
        <v>44968</v>
      </c>
      <c r="M37" s="58">
        <v>45097</v>
      </c>
      <c r="N37" s="78">
        <v>17992130</v>
      </c>
      <c r="O37" s="86"/>
      <c r="P37" s="86"/>
      <c r="Q37" s="78">
        <v>0</v>
      </c>
      <c r="R37" s="80">
        <v>17992130</v>
      </c>
      <c r="S37" s="87" t="s">
        <v>243</v>
      </c>
      <c r="T37" s="82" t="s">
        <v>373</v>
      </c>
      <c r="U37" s="88" t="s">
        <v>361</v>
      </c>
      <c r="V37" s="83" t="s">
        <v>244</v>
      </c>
      <c r="W37" s="84" t="str">
        <f t="shared" si="2"/>
        <v>CON-152</v>
      </c>
      <c r="X37" s="87">
        <v>80111600</v>
      </c>
      <c r="Y37" s="197" t="s">
        <v>516</v>
      </c>
      <c r="Z37" s="61">
        <v>44963</v>
      </c>
      <c r="AA37" s="61">
        <v>44963</v>
      </c>
      <c r="AB37" s="62">
        <v>5</v>
      </c>
      <c r="AC37" s="63" t="s">
        <v>241</v>
      </c>
      <c r="AD37" s="64" t="s">
        <v>242</v>
      </c>
      <c r="AE37" s="50">
        <v>17992130</v>
      </c>
      <c r="AF37" s="50">
        <v>17992130</v>
      </c>
      <c r="AG37" s="65" t="s">
        <v>244</v>
      </c>
      <c r="AH37" s="65" t="s">
        <v>245</v>
      </c>
      <c r="AI37" s="66" t="s">
        <v>246</v>
      </c>
      <c r="AJ37" s="67" t="s">
        <v>247</v>
      </c>
      <c r="AK37" s="68" t="s">
        <v>372</v>
      </c>
      <c r="AL37" s="69" t="s">
        <v>248</v>
      </c>
      <c r="AM37" s="70" t="s">
        <v>249</v>
      </c>
      <c r="AN37" s="65" t="s">
        <v>244</v>
      </c>
      <c r="AO37" s="65" t="s">
        <v>244</v>
      </c>
      <c r="AP37" s="71" t="s">
        <v>250</v>
      </c>
      <c r="AQ37" s="72" t="s">
        <v>251</v>
      </c>
      <c r="AR37" s="72" t="s">
        <v>252</v>
      </c>
      <c r="AS37" s="72" t="s">
        <v>250</v>
      </c>
      <c r="AT37" s="72"/>
      <c r="AU37" s="72"/>
    </row>
    <row r="38" spans="1:47" ht="33.75" x14ac:dyDescent="0.2">
      <c r="A38" s="44">
        <v>153</v>
      </c>
      <c r="B38" s="33" t="s">
        <v>90</v>
      </c>
      <c r="C38" s="33" t="s">
        <v>78</v>
      </c>
      <c r="D38" s="33" t="s">
        <v>375</v>
      </c>
      <c r="E38" s="33"/>
      <c r="F38" s="45" t="s">
        <v>374</v>
      </c>
      <c r="G38" s="45" t="s">
        <v>69</v>
      </c>
      <c r="H38" s="45" t="s">
        <v>28</v>
      </c>
      <c r="I38" s="75">
        <v>944848</v>
      </c>
      <c r="J38" s="195">
        <v>5</v>
      </c>
      <c r="K38" s="94">
        <v>4724240</v>
      </c>
      <c r="L38" s="59">
        <v>44968</v>
      </c>
      <c r="M38" s="58">
        <v>45097</v>
      </c>
      <c r="N38" s="78">
        <v>4724240</v>
      </c>
      <c r="O38" s="86"/>
      <c r="P38" s="86"/>
      <c r="Q38" s="78">
        <v>0</v>
      </c>
      <c r="R38" s="80">
        <v>4724240</v>
      </c>
      <c r="S38" s="87" t="s">
        <v>243</v>
      </c>
      <c r="T38" s="82" t="s">
        <v>373</v>
      </c>
      <c r="U38" s="88" t="s">
        <v>361</v>
      </c>
      <c r="V38" s="83" t="s">
        <v>244</v>
      </c>
      <c r="W38" s="84" t="str">
        <f t="shared" si="2"/>
        <v>CON-153</v>
      </c>
      <c r="X38" s="87">
        <v>80111600</v>
      </c>
      <c r="Y38" s="197" t="s">
        <v>516</v>
      </c>
      <c r="Z38" s="61">
        <v>44963</v>
      </c>
      <c r="AA38" s="61">
        <v>44963</v>
      </c>
      <c r="AB38" s="62">
        <v>5</v>
      </c>
      <c r="AC38" s="63" t="s">
        <v>241</v>
      </c>
      <c r="AD38" s="64" t="s">
        <v>242</v>
      </c>
      <c r="AE38" s="50">
        <v>4724240</v>
      </c>
      <c r="AF38" s="50">
        <v>4724240</v>
      </c>
      <c r="AG38" s="65" t="s">
        <v>244</v>
      </c>
      <c r="AH38" s="65" t="s">
        <v>245</v>
      </c>
      <c r="AI38" s="66" t="s">
        <v>246</v>
      </c>
      <c r="AJ38" s="67" t="s">
        <v>247</v>
      </c>
      <c r="AK38" s="68" t="s">
        <v>372</v>
      </c>
      <c r="AL38" s="69" t="s">
        <v>248</v>
      </c>
      <c r="AM38" s="70" t="s">
        <v>249</v>
      </c>
      <c r="AN38" s="65" t="s">
        <v>244</v>
      </c>
      <c r="AO38" s="65" t="s">
        <v>244</v>
      </c>
      <c r="AP38" s="71" t="s">
        <v>250</v>
      </c>
      <c r="AQ38" s="72" t="s">
        <v>251</v>
      </c>
      <c r="AR38" s="72" t="s">
        <v>252</v>
      </c>
      <c r="AS38" s="72" t="s">
        <v>250</v>
      </c>
      <c r="AT38" s="72"/>
      <c r="AU38" s="72"/>
    </row>
    <row r="39" spans="1:47" ht="33.75" x14ac:dyDescent="0.2">
      <c r="A39" s="44">
        <v>154</v>
      </c>
      <c r="B39" s="33" t="s">
        <v>90</v>
      </c>
      <c r="C39" s="33" t="s">
        <v>78</v>
      </c>
      <c r="D39" s="33" t="s">
        <v>375</v>
      </c>
      <c r="E39" s="33"/>
      <c r="F39" s="45" t="s">
        <v>374</v>
      </c>
      <c r="G39" s="45" t="s">
        <v>69</v>
      </c>
      <c r="H39" s="45" t="s">
        <v>28</v>
      </c>
      <c r="I39" s="75">
        <v>1393409</v>
      </c>
      <c r="J39" s="195">
        <v>5</v>
      </c>
      <c r="K39" s="94">
        <v>6967045</v>
      </c>
      <c r="L39" s="59">
        <v>44968</v>
      </c>
      <c r="M39" s="58">
        <v>45097</v>
      </c>
      <c r="N39" s="78">
        <v>6967045</v>
      </c>
      <c r="O39" s="86"/>
      <c r="P39" s="86"/>
      <c r="Q39" s="78">
        <v>0</v>
      </c>
      <c r="R39" s="80">
        <v>6967045</v>
      </c>
      <c r="S39" s="87" t="s">
        <v>243</v>
      </c>
      <c r="T39" s="82" t="s">
        <v>373</v>
      </c>
      <c r="U39" s="88" t="s">
        <v>361</v>
      </c>
      <c r="V39" s="83" t="s">
        <v>244</v>
      </c>
      <c r="W39" s="84" t="str">
        <f t="shared" si="2"/>
        <v>CON-154</v>
      </c>
      <c r="X39" s="87">
        <v>80111600</v>
      </c>
      <c r="Y39" s="197" t="s">
        <v>516</v>
      </c>
      <c r="Z39" s="61">
        <v>44963</v>
      </c>
      <c r="AA39" s="61">
        <v>44963</v>
      </c>
      <c r="AB39" s="62">
        <v>5</v>
      </c>
      <c r="AC39" s="63" t="s">
        <v>241</v>
      </c>
      <c r="AD39" s="64" t="s">
        <v>242</v>
      </c>
      <c r="AE39" s="50">
        <v>1393409</v>
      </c>
      <c r="AF39" s="50">
        <v>1393409</v>
      </c>
      <c r="AG39" s="65" t="s">
        <v>244</v>
      </c>
      <c r="AH39" s="65" t="s">
        <v>245</v>
      </c>
      <c r="AI39" s="66" t="s">
        <v>246</v>
      </c>
      <c r="AJ39" s="67" t="s">
        <v>247</v>
      </c>
      <c r="AK39" s="68" t="s">
        <v>372</v>
      </c>
      <c r="AL39" s="69" t="s">
        <v>248</v>
      </c>
      <c r="AM39" s="70" t="s">
        <v>249</v>
      </c>
      <c r="AN39" s="65" t="s">
        <v>244</v>
      </c>
      <c r="AO39" s="65" t="s">
        <v>244</v>
      </c>
      <c r="AP39" s="71" t="s">
        <v>250</v>
      </c>
      <c r="AQ39" s="72" t="s">
        <v>251</v>
      </c>
      <c r="AR39" s="72" t="s">
        <v>252</v>
      </c>
      <c r="AS39" s="72" t="s">
        <v>250</v>
      </c>
      <c r="AT39" s="72"/>
      <c r="AU39" s="72"/>
    </row>
    <row r="40" spans="1:47" ht="33.75" x14ac:dyDescent="0.2">
      <c r="A40" s="44">
        <v>155</v>
      </c>
      <c r="B40" s="33" t="s">
        <v>90</v>
      </c>
      <c r="C40" s="33" t="s">
        <v>78</v>
      </c>
      <c r="D40" s="33" t="s">
        <v>375</v>
      </c>
      <c r="E40" s="33"/>
      <c r="F40" s="45" t="s">
        <v>374</v>
      </c>
      <c r="G40" s="45" t="s">
        <v>67</v>
      </c>
      <c r="H40" s="45" t="s">
        <v>28</v>
      </c>
      <c r="I40" s="75">
        <v>1695580</v>
      </c>
      <c r="J40" s="195">
        <v>5</v>
      </c>
      <c r="K40" s="94">
        <v>8477900</v>
      </c>
      <c r="L40" s="59">
        <v>44968</v>
      </c>
      <c r="M40" s="58">
        <v>45097</v>
      </c>
      <c r="N40" s="78">
        <v>8477900</v>
      </c>
      <c r="O40" s="86"/>
      <c r="P40" s="86"/>
      <c r="Q40" s="78">
        <v>0</v>
      </c>
      <c r="R40" s="80">
        <v>8477900</v>
      </c>
      <c r="S40" s="87" t="s">
        <v>243</v>
      </c>
      <c r="T40" s="82" t="s">
        <v>373</v>
      </c>
      <c r="U40" s="88" t="s">
        <v>361</v>
      </c>
      <c r="V40" s="83" t="s">
        <v>244</v>
      </c>
      <c r="W40" s="84" t="str">
        <f t="shared" si="2"/>
        <v>CON-155</v>
      </c>
      <c r="X40" s="87">
        <v>80111600</v>
      </c>
      <c r="Y40" s="197" t="s">
        <v>516</v>
      </c>
      <c r="Z40" s="61">
        <v>44963</v>
      </c>
      <c r="AA40" s="61">
        <v>44963</v>
      </c>
      <c r="AB40" s="62">
        <v>5</v>
      </c>
      <c r="AC40" s="63" t="s">
        <v>241</v>
      </c>
      <c r="AD40" s="64" t="s">
        <v>242</v>
      </c>
      <c r="AE40" s="50">
        <v>8477900</v>
      </c>
      <c r="AF40" s="50">
        <v>8477900</v>
      </c>
      <c r="AG40" s="65" t="s">
        <v>244</v>
      </c>
      <c r="AH40" s="65" t="s">
        <v>245</v>
      </c>
      <c r="AI40" s="66" t="s">
        <v>246</v>
      </c>
      <c r="AJ40" s="67" t="s">
        <v>247</v>
      </c>
      <c r="AK40" s="68" t="s">
        <v>372</v>
      </c>
      <c r="AL40" s="69" t="s">
        <v>248</v>
      </c>
      <c r="AM40" s="70" t="s">
        <v>249</v>
      </c>
      <c r="AN40" s="65" t="s">
        <v>244</v>
      </c>
      <c r="AO40" s="65" t="s">
        <v>244</v>
      </c>
      <c r="AP40" s="71" t="s">
        <v>250</v>
      </c>
      <c r="AQ40" s="72" t="s">
        <v>251</v>
      </c>
      <c r="AR40" s="72" t="s">
        <v>252</v>
      </c>
      <c r="AS40" s="72" t="s">
        <v>250</v>
      </c>
      <c r="AT40" s="72"/>
      <c r="AU40" s="72"/>
    </row>
    <row r="41" spans="1:47" ht="33.75" x14ac:dyDescent="0.2">
      <c r="A41" s="44">
        <v>156</v>
      </c>
      <c r="B41" s="33" t="s">
        <v>90</v>
      </c>
      <c r="C41" s="33" t="s">
        <v>78</v>
      </c>
      <c r="D41" s="33" t="s">
        <v>375</v>
      </c>
      <c r="E41" s="33"/>
      <c r="F41" s="45" t="s">
        <v>374</v>
      </c>
      <c r="G41" s="45" t="s">
        <v>67</v>
      </c>
      <c r="H41" s="45" t="s">
        <v>28</v>
      </c>
      <c r="I41" s="75">
        <v>2079480</v>
      </c>
      <c r="J41" s="195">
        <v>5</v>
      </c>
      <c r="K41" s="94">
        <v>10397400</v>
      </c>
      <c r="L41" s="59">
        <v>44970</v>
      </c>
      <c r="M41" s="58">
        <v>45097</v>
      </c>
      <c r="N41" s="78">
        <v>10397400</v>
      </c>
      <c r="O41" s="86"/>
      <c r="P41" s="86"/>
      <c r="Q41" s="78">
        <v>0</v>
      </c>
      <c r="R41" s="80">
        <v>10397400</v>
      </c>
      <c r="S41" s="87" t="s">
        <v>243</v>
      </c>
      <c r="T41" s="82" t="s">
        <v>373</v>
      </c>
      <c r="U41" s="88" t="s">
        <v>361</v>
      </c>
      <c r="V41" s="83" t="s">
        <v>244</v>
      </c>
      <c r="W41" s="84" t="str">
        <f t="shared" si="2"/>
        <v>CON-156</v>
      </c>
      <c r="X41" s="87">
        <v>80111600</v>
      </c>
      <c r="Y41" s="197" t="s">
        <v>516</v>
      </c>
      <c r="Z41" s="61">
        <v>44963</v>
      </c>
      <c r="AA41" s="61">
        <v>44963</v>
      </c>
      <c r="AB41" s="62">
        <v>5</v>
      </c>
      <c r="AC41" s="63" t="s">
        <v>241</v>
      </c>
      <c r="AD41" s="64" t="s">
        <v>242</v>
      </c>
      <c r="AE41" s="50">
        <v>10397400</v>
      </c>
      <c r="AF41" s="50">
        <v>10397400</v>
      </c>
      <c r="AG41" s="65" t="s">
        <v>244</v>
      </c>
      <c r="AH41" s="65" t="s">
        <v>245</v>
      </c>
      <c r="AI41" s="66" t="s">
        <v>246</v>
      </c>
      <c r="AJ41" s="67" t="s">
        <v>247</v>
      </c>
      <c r="AK41" s="68" t="s">
        <v>372</v>
      </c>
      <c r="AL41" s="69" t="s">
        <v>248</v>
      </c>
      <c r="AM41" s="70" t="s">
        <v>249</v>
      </c>
      <c r="AN41" s="65" t="s">
        <v>244</v>
      </c>
      <c r="AO41" s="65" t="s">
        <v>244</v>
      </c>
      <c r="AP41" s="71" t="s">
        <v>250</v>
      </c>
      <c r="AQ41" s="72" t="s">
        <v>251</v>
      </c>
      <c r="AR41" s="72" t="s">
        <v>252</v>
      </c>
      <c r="AS41" s="72" t="s">
        <v>250</v>
      </c>
      <c r="AT41" s="72"/>
      <c r="AU41" s="72"/>
    </row>
    <row r="42" spans="1:47" ht="33.75" x14ac:dyDescent="0.2">
      <c r="A42" s="44">
        <v>157</v>
      </c>
      <c r="B42" s="33" t="s">
        <v>90</v>
      </c>
      <c r="C42" s="33" t="s">
        <v>78</v>
      </c>
      <c r="D42" s="33" t="s">
        <v>375</v>
      </c>
      <c r="E42" s="33"/>
      <c r="F42" s="45" t="s">
        <v>374</v>
      </c>
      <c r="G42" s="45" t="s">
        <v>67</v>
      </c>
      <c r="H42" s="45" t="s">
        <v>28</v>
      </c>
      <c r="I42" s="75">
        <v>1695580</v>
      </c>
      <c r="J42" s="195">
        <v>5</v>
      </c>
      <c r="K42" s="94">
        <v>8477900</v>
      </c>
      <c r="L42" s="59">
        <v>44968</v>
      </c>
      <c r="M42" s="58">
        <v>45097</v>
      </c>
      <c r="N42" s="78">
        <v>8477900</v>
      </c>
      <c r="O42" s="86"/>
      <c r="P42" s="86"/>
      <c r="Q42" s="78">
        <v>0</v>
      </c>
      <c r="R42" s="80">
        <v>8477900</v>
      </c>
      <c r="S42" s="87" t="s">
        <v>243</v>
      </c>
      <c r="T42" s="82" t="s">
        <v>373</v>
      </c>
      <c r="U42" s="88" t="s">
        <v>361</v>
      </c>
      <c r="V42" s="83" t="s">
        <v>244</v>
      </c>
      <c r="W42" s="84" t="str">
        <f t="shared" si="2"/>
        <v>CON-157</v>
      </c>
      <c r="X42" s="87">
        <v>80111600</v>
      </c>
      <c r="Y42" s="197" t="s">
        <v>516</v>
      </c>
      <c r="Z42" s="61">
        <v>44963</v>
      </c>
      <c r="AA42" s="61">
        <v>44963</v>
      </c>
      <c r="AB42" s="62">
        <v>5</v>
      </c>
      <c r="AC42" s="63" t="s">
        <v>241</v>
      </c>
      <c r="AD42" s="64" t="s">
        <v>242</v>
      </c>
      <c r="AE42" s="50">
        <v>8477900</v>
      </c>
      <c r="AF42" s="50">
        <v>8477900</v>
      </c>
      <c r="AG42" s="65" t="s">
        <v>244</v>
      </c>
      <c r="AH42" s="65" t="s">
        <v>245</v>
      </c>
      <c r="AI42" s="66" t="s">
        <v>246</v>
      </c>
      <c r="AJ42" s="67" t="s">
        <v>247</v>
      </c>
      <c r="AK42" s="68" t="s">
        <v>372</v>
      </c>
      <c r="AL42" s="69" t="s">
        <v>248</v>
      </c>
      <c r="AM42" s="70" t="s">
        <v>249</v>
      </c>
      <c r="AN42" s="65" t="s">
        <v>244</v>
      </c>
      <c r="AO42" s="65" t="s">
        <v>244</v>
      </c>
      <c r="AP42" s="71" t="s">
        <v>250</v>
      </c>
      <c r="AQ42" s="72" t="s">
        <v>251</v>
      </c>
      <c r="AR42" s="72" t="s">
        <v>252</v>
      </c>
      <c r="AS42" s="72" t="s">
        <v>250</v>
      </c>
      <c r="AT42" s="72"/>
      <c r="AU42" s="72"/>
    </row>
    <row r="43" spans="1:47" ht="33.75" x14ac:dyDescent="0.2">
      <c r="A43" s="44">
        <v>158</v>
      </c>
      <c r="B43" s="33" t="s">
        <v>90</v>
      </c>
      <c r="C43" s="33" t="s">
        <v>78</v>
      </c>
      <c r="D43" s="33" t="s">
        <v>375</v>
      </c>
      <c r="E43" s="33"/>
      <c r="F43" s="45" t="s">
        <v>374</v>
      </c>
      <c r="G43" s="45" t="s">
        <v>69</v>
      </c>
      <c r="H43" s="45" t="s">
        <v>28</v>
      </c>
      <c r="I43" s="75">
        <v>1924813</v>
      </c>
      <c r="J43" s="195">
        <v>5</v>
      </c>
      <c r="K43" s="94">
        <v>9624065</v>
      </c>
      <c r="L43" s="59">
        <v>44968</v>
      </c>
      <c r="M43" s="58">
        <v>45097</v>
      </c>
      <c r="N43" s="78">
        <v>9624065</v>
      </c>
      <c r="O43" s="86"/>
      <c r="P43" s="86"/>
      <c r="Q43" s="78">
        <v>0</v>
      </c>
      <c r="R43" s="80">
        <v>9624065</v>
      </c>
      <c r="S43" s="87" t="s">
        <v>243</v>
      </c>
      <c r="T43" s="82" t="s">
        <v>373</v>
      </c>
      <c r="U43" s="88" t="s">
        <v>361</v>
      </c>
      <c r="V43" s="83" t="s">
        <v>244</v>
      </c>
      <c r="W43" s="84" t="str">
        <f t="shared" si="2"/>
        <v>CON-158</v>
      </c>
      <c r="X43" s="87">
        <v>80111600</v>
      </c>
      <c r="Y43" s="197" t="s">
        <v>516</v>
      </c>
      <c r="Z43" s="61">
        <v>44963</v>
      </c>
      <c r="AA43" s="61">
        <v>44963</v>
      </c>
      <c r="AB43" s="62">
        <v>5</v>
      </c>
      <c r="AC43" s="63" t="s">
        <v>241</v>
      </c>
      <c r="AD43" s="64" t="s">
        <v>242</v>
      </c>
      <c r="AE43" s="50">
        <v>9624065</v>
      </c>
      <c r="AF43" s="50">
        <v>9624065</v>
      </c>
      <c r="AG43" s="65" t="s">
        <v>244</v>
      </c>
      <c r="AH43" s="65" t="s">
        <v>245</v>
      </c>
      <c r="AI43" s="66" t="s">
        <v>246</v>
      </c>
      <c r="AJ43" s="67" t="s">
        <v>247</v>
      </c>
      <c r="AK43" s="68" t="s">
        <v>372</v>
      </c>
      <c r="AL43" s="69" t="s">
        <v>248</v>
      </c>
      <c r="AM43" s="70" t="s">
        <v>249</v>
      </c>
      <c r="AN43" s="65" t="s">
        <v>244</v>
      </c>
      <c r="AO43" s="65" t="s">
        <v>244</v>
      </c>
      <c r="AP43" s="71" t="s">
        <v>250</v>
      </c>
      <c r="AQ43" s="72" t="s">
        <v>251</v>
      </c>
      <c r="AR43" s="72" t="s">
        <v>252</v>
      </c>
      <c r="AS43" s="72" t="s">
        <v>250</v>
      </c>
      <c r="AT43" s="72"/>
      <c r="AU43" s="72"/>
    </row>
    <row r="44" spans="1:47" ht="33.75" x14ac:dyDescent="0.2">
      <c r="A44" s="44">
        <v>159</v>
      </c>
      <c r="B44" s="33" t="s">
        <v>90</v>
      </c>
      <c r="C44" s="33" t="s">
        <v>78</v>
      </c>
      <c r="D44" s="33" t="s">
        <v>375</v>
      </c>
      <c r="E44" s="33"/>
      <c r="F44" s="45" t="s">
        <v>374</v>
      </c>
      <c r="G44" s="45" t="s">
        <v>69</v>
      </c>
      <c r="H44" s="45" t="s">
        <v>28</v>
      </c>
      <c r="I44" s="75">
        <v>3598426</v>
      </c>
      <c r="J44" s="195">
        <v>5</v>
      </c>
      <c r="K44" s="94">
        <v>17992130</v>
      </c>
      <c r="L44" s="59">
        <v>44968</v>
      </c>
      <c r="M44" s="58">
        <v>45097</v>
      </c>
      <c r="N44" s="78">
        <v>17992130</v>
      </c>
      <c r="O44" s="86"/>
      <c r="P44" s="86"/>
      <c r="Q44" s="78">
        <v>0</v>
      </c>
      <c r="R44" s="80">
        <v>17992130</v>
      </c>
      <c r="S44" s="87" t="s">
        <v>243</v>
      </c>
      <c r="T44" s="82" t="s">
        <v>373</v>
      </c>
      <c r="U44" s="88" t="s">
        <v>361</v>
      </c>
      <c r="V44" s="83" t="s">
        <v>244</v>
      </c>
      <c r="W44" s="84" t="str">
        <f t="shared" si="2"/>
        <v>CON-159</v>
      </c>
      <c r="X44" s="87">
        <v>80111600</v>
      </c>
      <c r="Y44" s="197" t="s">
        <v>516</v>
      </c>
      <c r="Z44" s="61">
        <v>44963</v>
      </c>
      <c r="AA44" s="61">
        <v>44963</v>
      </c>
      <c r="AB44" s="62">
        <v>5</v>
      </c>
      <c r="AC44" s="63" t="s">
        <v>241</v>
      </c>
      <c r="AD44" s="64" t="s">
        <v>242</v>
      </c>
      <c r="AE44" s="50">
        <v>17992130</v>
      </c>
      <c r="AF44" s="50">
        <v>17992130</v>
      </c>
      <c r="AG44" s="65" t="s">
        <v>244</v>
      </c>
      <c r="AH44" s="65" t="s">
        <v>245</v>
      </c>
      <c r="AI44" s="66" t="s">
        <v>246</v>
      </c>
      <c r="AJ44" s="67" t="s">
        <v>247</v>
      </c>
      <c r="AK44" s="68" t="s">
        <v>372</v>
      </c>
      <c r="AL44" s="69" t="s">
        <v>248</v>
      </c>
      <c r="AM44" s="70" t="s">
        <v>249</v>
      </c>
      <c r="AN44" s="65" t="s">
        <v>244</v>
      </c>
      <c r="AO44" s="65" t="s">
        <v>244</v>
      </c>
      <c r="AP44" s="71" t="s">
        <v>250</v>
      </c>
      <c r="AQ44" s="72" t="s">
        <v>251</v>
      </c>
      <c r="AR44" s="72" t="s">
        <v>252</v>
      </c>
      <c r="AS44" s="72" t="s">
        <v>250</v>
      </c>
      <c r="AT44" s="72"/>
      <c r="AU44" s="72"/>
    </row>
    <row r="45" spans="1:47" ht="33.75" x14ac:dyDescent="0.2">
      <c r="A45" s="44">
        <v>160</v>
      </c>
      <c r="B45" s="33" t="s">
        <v>90</v>
      </c>
      <c r="C45" s="33" t="s">
        <v>78</v>
      </c>
      <c r="D45" s="33" t="s">
        <v>375</v>
      </c>
      <c r="E45" s="33"/>
      <c r="F45" s="45" t="s">
        <v>374</v>
      </c>
      <c r="G45" s="45" t="s">
        <v>69</v>
      </c>
      <c r="H45" s="45" t="s">
        <v>28</v>
      </c>
      <c r="I45" s="75">
        <v>2456217</v>
      </c>
      <c r="J45" s="195">
        <v>5</v>
      </c>
      <c r="K45" s="94">
        <v>12281085</v>
      </c>
      <c r="L45" s="59">
        <v>44970</v>
      </c>
      <c r="M45" s="58">
        <v>45097</v>
      </c>
      <c r="N45" s="78">
        <v>12281085</v>
      </c>
      <c r="O45" s="86"/>
      <c r="P45" s="86"/>
      <c r="Q45" s="78">
        <v>0</v>
      </c>
      <c r="R45" s="80">
        <v>12281085</v>
      </c>
      <c r="S45" s="87" t="s">
        <v>243</v>
      </c>
      <c r="T45" s="82" t="s">
        <v>373</v>
      </c>
      <c r="U45" s="88" t="s">
        <v>361</v>
      </c>
      <c r="V45" s="88" t="s">
        <v>244</v>
      </c>
      <c r="W45" s="84" t="s">
        <v>517</v>
      </c>
      <c r="X45" s="87">
        <v>80111600</v>
      </c>
      <c r="Y45" s="197" t="s">
        <v>516</v>
      </c>
      <c r="Z45" s="61">
        <v>44963</v>
      </c>
      <c r="AA45" s="61">
        <v>44963</v>
      </c>
      <c r="AB45" s="62">
        <v>5</v>
      </c>
      <c r="AC45" s="63" t="s">
        <v>241</v>
      </c>
      <c r="AD45" s="64" t="s">
        <v>242</v>
      </c>
      <c r="AE45" s="50">
        <v>12281085</v>
      </c>
      <c r="AF45" s="50">
        <v>12281085</v>
      </c>
      <c r="AG45" s="65" t="s">
        <v>244</v>
      </c>
      <c r="AH45" s="65" t="s">
        <v>245</v>
      </c>
      <c r="AI45" s="66" t="s">
        <v>246</v>
      </c>
      <c r="AJ45" s="67" t="s">
        <v>247</v>
      </c>
      <c r="AK45" s="68" t="s">
        <v>372</v>
      </c>
      <c r="AL45" s="69" t="s">
        <v>248</v>
      </c>
      <c r="AM45" s="70" t="s">
        <v>249</v>
      </c>
      <c r="AN45" s="65" t="s">
        <v>244</v>
      </c>
      <c r="AO45" s="65" t="s">
        <v>244</v>
      </c>
      <c r="AP45" s="71" t="s">
        <v>250</v>
      </c>
      <c r="AQ45" s="72" t="s">
        <v>251</v>
      </c>
      <c r="AR45" s="72" t="s">
        <v>252</v>
      </c>
      <c r="AS45" s="72" t="s">
        <v>250</v>
      </c>
      <c r="AT45" s="72"/>
      <c r="AU45" s="72"/>
    </row>
    <row r="46" spans="1:47" ht="33.75" x14ac:dyDescent="0.2">
      <c r="A46" s="44">
        <v>161</v>
      </c>
      <c r="B46" s="33" t="s">
        <v>90</v>
      </c>
      <c r="C46" s="33" t="s">
        <v>78</v>
      </c>
      <c r="D46" s="33" t="s">
        <v>375</v>
      </c>
      <c r="E46" s="33"/>
      <c r="F46" s="45" t="s">
        <v>374</v>
      </c>
      <c r="G46" s="45" t="s">
        <v>69</v>
      </c>
      <c r="H46" s="45" t="s">
        <v>28</v>
      </c>
      <c r="I46" s="75">
        <v>1924813</v>
      </c>
      <c r="J46" s="195">
        <v>5</v>
      </c>
      <c r="K46" s="94">
        <v>9624065</v>
      </c>
      <c r="L46" s="59">
        <v>44968</v>
      </c>
      <c r="M46" s="58">
        <v>45097</v>
      </c>
      <c r="N46" s="78">
        <v>9624065</v>
      </c>
      <c r="O46" s="86"/>
      <c r="P46" s="86"/>
      <c r="Q46" s="78">
        <v>0</v>
      </c>
      <c r="R46" s="80">
        <v>9624065</v>
      </c>
      <c r="S46" s="87" t="s">
        <v>243</v>
      </c>
      <c r="T46" s="82" t="s">
        <v>373</v>
      </c>
      <c r="U46" s="88" t="s">
        <v>361</v>
      </c>
      <c r="V46" s="88" t="s">
        <v>244</v>
      </c>
      <c r="W46" s="84" t="s">
        <v>518</v>
      </c>
      <c r="X46" s="87">
        <v>80111600</v>
      </c>
      <c r="Y46" s="197" t="s">
        <v>516</v>
      </c>
      <c r="Z46" s="61">
        <v>44963</v>
      </c>
      <c r="AA46" s="61">
        <v>44963</v>
      </c>
      <c r="AB46" s="62">
        <v>5</v>
      </c>
      <c r="AC46" s="63" t="s">
        <v>241</v>
      </c>
      <c r="AD46" s="64" t="s">
        <v>242</v>
      </c>
      <c r="AE46" s="50">
        <v>9624065</v>
      </c>
      <c r="AF46" s="50">
        <v>9624065</v>
      </c>
      <c r="AG46" s="65" t="s">
        <v>244</v>
      </c>
      <c r="AH46" s="65" t="s">
        <v>245</v>
      </c>
      <c r="AI46" s="66" t="s">
        <v>246</v>
      </c>
      <c r="AJ46" s="67" t="s">
        <v>247</v>
      </c>
      <c r="AK46" s="68" t="s">
        <v>372</v>
      </c>
      <c r="AL46" s="69" t="s">
        <v>248</v>
      </c>
      <c r="AM46" s="70" t="s">
        <v>249</v>
      </c>
      <c r="AN46" s="65" t="s">
        <v>244</v>
      </c>
      <c r="AO46" s="65" t="s">
        <v>244</v>
      </c>
      <c r="AP46" s="71" t="s">
        <v>250</v>
      </c>
      <c r="AQ46" s="72" t="s">
        <v>251</v>
      </c>
      <c r="AR46" s="72" t="s">
        <v>252</v>
      </c>
      <c r="AS46" s="72" t="s">
        <v>250</v>
      </c>
      <c r="AT46" s="72"/>
      <c r="AU46" s="72"/>
    </row>
    <row r="47" spans="1:47" ht="33.75" x14ac:dyDescent="0.2">
      <c r="A47" s="44">
        <v>163</v>
      </c>
      <c r="B47" s="33" t="s">
        <v>90</v>
      </c>
      <c r="C47" s="33" t="s">
        <v>78</v>
      </c>
      <c r="D47" s="33" t="s">
        <v>375</v>
      </c>
      <c r="E47" s="33"/>
      <c r="F47" s="45" t="s">
        <v>374</v>
      </c>
      <c r="G47" s="45" t="s">
        <v>69</v>
      </c>
      <c r="H47" s="45" t="s">
        <v>28</v>
      </c>
      <c r="I47" s="75">
        <v>1393409</v>
      </c>
      <c r="J47" s="195">
        <v>5</v>
      </c>
      <c r="K47" s="94">
        <v>6967045</v>
      </c>
      <c r="L47" s="59">
        <v>44968</v>
      </c>
      <c r="M47" s="58">
        <v>45097</v>
      </c>
      <c r="N47" s="78">
        <v>6967045</v>
      </c>
      <c r="O47" s="86"/>
      <c r="P47" s="86"/>
      <c r="Q47" s="78">
        <v>0</v>
      </c>
      <c r="R47" s="80">
        <v>6967045</v>
      </c>
      <c r="S47" s="87" t="s">
        <v>243</v>
      </c>
      <c r="T47" s="82" t="s">
        <v>373</v>
      </c>
      <c r="U47" s="88" t="s">
        <v>361</v>
      </c>
      <c r="V47" s="88" t="s">
        <v>244</v>
      </c>
      <c r="W47" s="84" t="s">
        <v>519</v>
      </c>
      <c r="X47" s="87">
        <v>80111600</v>
      </c>
      <c r="Y47" s="197" t="s">
        <v>516</v>
      </c>
      <c r="Z47" s="61">
        <v>44963</v>
      </c>
      <c r="AA47" s="61">
        <v>44963</v>
      </c>
      <c r="AB47" s="62">
        <v>5</v>
      </c>
      <c r="AC47" s="63" t="s">
        <v>241</v>
      </c>
      <c r="AD47" s="64" t="s">
        <v>242</v>
      </c>
      <c r="AE47" s="50">
        <v>6967045</v>
      </c>
      <c r="AF47" s="50">
        <v>6967045</v>
      </c>
      <c r="AG47" s="65" t="s">
        <v>244</v>
      </c>
      <c r="AH47" s="65" t="s">
        <v>245</v>
      </c>
      <c r="AI47" s="66" t="s">
        <v>246</v>
      </c>
      <c r="AJ47" s="67" t="s">
        <v>247</v>
      </c>
      <c r="AK47" s="68" t="s">
        <v>372</v>
      </c>
      <c r="AL47" s="69" t="s">
        <v>248</v>
      </c>
      <c r="AM47" s="70" t="s">
        <v>249</v>
      </c>
      <c r="AN47" s="65" t="s">
        <v>244</v>
      </c>
      <c r="AO47" s="65" t="s">
        <v>244</v>
      </c>
      <c r="AP47" s="71" t="s">
        <v>250</v>
      </c>
      <c r="AQ47" s="72" t="s">
        <v>251</v>
      </c>
      <c r="AR47" s="72" t="s">
        <v>252</v>
      </c>
      <c r="AS47" s="72" t="s">
        <v>250</v>
      </c>
      <c r="AT47" s="72"/>
      <c r="AU47" s="72"/>
    </row>
    <row r="48" spans="1:47" ht="57" customHeight="1" x14ac:dyDescent="0.2">
      <c r="A48" s="44">
        <v>164</v>
      </c>
      <c r="B48" s="33" t="s">
        <v>90</v>
      </c>
      <c r="C48" s="33" t="s">
        <v>78</v>
      </c>
      <c r="D48" s="33" t="s">
        <v>375</v>
      </c>
      <c r="E48" s="33"/>
      <c r="F48" s="45" t="s">
        <v>374</v>
      </c>
      <c r="G48" s="45" t="s">
        <v>69</v>
      </c>
      <c r="H48" s="45" t="s">
        <v>28</v>
      </c>
      <c r="I48" s="75">
        <v>862004</v>
      </c>
      <c r="J48" s="195">
        <v>5</v>
      </c>
      <c r="K48" s="94">
        <v>4310020</v>
      </c>
      <c r="L48" s="59">
        <v>44968</v>
      </c>
      <c r="M48" s="58">
        <v>45097</v>
      </c>
      <c r="N48" s="78">
        <v>4310020</v>
      </c>
      <c r="O48" s="86"/>
      <c r="P48" s="86"/>
      <c r="Q48" s="78">
        <v>0</v>
      </c>
      <c r="R48" s="80">
        <v>4310020</v>
      </c>
      <c r="S48" s="87" t="s">
        <v>243</v>
      </c>
      <c r="T48" s="82" t="s">
        <v>373</v>
      </c>
      <c r="U48" s="88" t="s">
        <v>361</v>
      </c>
      <c r="V48" s="88" t="s">
        <v>244</v>
      </c>
      <c r="W48" s="84" t="s">
        <v>520</v>
      </c>
      <c r="X48" s="87">
        <v>80111600</v>
      </c>
      <c r="Y48" s="197" t="s">
        <v>516</v>
      </c>
      <c r="Z48" s="61">
        <v>44963</v>
      </c>
      <c r="AA48" s="61">
        <v>44963</v>
      </c>
      <c r="AB48" s="62">
        <v>5</v>
      </c>
      <c r="AC48" s="63" t="s">
        <v>241</v>
      </c>
      <c r="AD48" s="64" t="s">
        <v>242</v>
      </c>
      <c r="AE48" s="50">
        <v>4310020</v>
      </c>
      <c r="AF48" s="50">
        <v>4310020</v>
      </c>
      <c r="AG48" s="65" t="s">
        <v>244</v>
      </c>
      <c r="AH48" s="65" t="s">
        <v>245</v>
      </c>
      <c r="AI48" s="66" t="s">
        <v>246</v>
      </c>
      <c r="AJ48" s="67" t="s">
        <v>247</v>
      </c>
      <c r="AK48" s="68" t="s">
        <v>372</v>
      </c>
      <c r="AL48" s="69" t="s">
        <v>248</v>
      </c>
      <c r="AM48" s="70" t="s">
        <v>249</v>
      </c>
      <c r="AN48" s="65" t="s">
        <v>244</v>
      </c>
      <c r="AO48" s="65" t="s">
        <v>244</v>
      </c>
      <c r="AP48" s="71" t="s">
        <v>250</v>
      </c>
      <c r="AQ48" s="72" t="s">
        <v>251</v>
      </c>
      <c r="AR48" s="72" t="s">
        <v>252</v>
      </c>
      <c r="AS48" s="72" t="s">
        <v>250</v>
      </c>
      <c r="AT48" s="72"/>
      <c r="AU48" s="72"/>
    </row>
    <row r="49" spans="1:47" ht="54.75" customHeight="1" x14ac:dyDescent="0.2">
      <c r="A49" s="44">
        <v>165</v>
      </c>
      <c r="B49" s="33" t="s">
        <v>90</v>
      </c>
      <c r="C49" s="33" t="s">
        <v>78</v>
      </c>
      <c r="D49" s="33" t="s">
        <v>375</v>
      </c>
      <c r="E49" s="33"/>
      <c r="F49" s="45" t="s">
        <v>374</v>
      </c>
      <c r="G49" s="45" t="s">
        <v>67</v>
      </c>
      <c r="H49" s="45" t="s">
        <v>28</v>
      </c>
      <c r="I49" s="75">
        <v>1695580</v>
      </c>
      <c r="J49" s="195">
        <v>5</v>
      </c>
      <c r="K49" s="94">
        <v>8477900</v>
      </c>
      <c r="L49" s="59">
        <v>44968</v>
      </c>
      <c r="M49" s="58">
        <v>45097</v>
      </c>
      <c r="N49" s="78">
        <v>8477900</v>
      </c>
      <c r="O49" s="86"/>
      <c r="P49" s="86"/>
      <c r="Q49" s="78">
        <v>0</v>
      </c>
      <c r="R49" s="80">
        <v>8477900</v>
      </c>
      <c r="S49" s="87" t="s">
        <v>243</v>
      </c>
      <c r="T49" s="82" t="s">
        <v>373</v>
      </c>
      <c r="U49" s="88" t="s">
        <v>361</v>
      </c>
      <c r="V49" s="88" t="s">
        <v>244</v>
      </c>
      <c r="W49" s="84" t="s">
        <v>521</v>
      </c>
      <c r="X49" s="87">
        <v>80111600</v>
      </c>
      <c r="Y49" s="197" t="s">
        <v>516</v>
      </c>
      <c r="Z49" s="61">
        <v>44963</v>
      </c>
      <c r="AA49" s="61">
        <v>44963</v>
      </c>
      <c r="AB49" s="62">
        <v>5</v>
      </c>
      <c r="AC49" s="63" t="s">
        <v>241</v>
      </c>
      <c r="AD49" s="64" t="s">
        <v>242</v>
      </c>
      <c r="AE49" s="50">
        <v>8477900</v>
      </c>
      <c r="AF49" s="50">
        <v>8477900</v>
      </c>
      <c r="AG49" s="65" t="s">
        <v>244</v>
      </c>
      <c r="AH49" s="65" t="s">
        <v>245</v>
      </c>
      <c r="AI49" s="66" t="s">
        <v>246</v>
      </c>
      <c r="AJ49" s="67" t="s">
        <v>247</v>
      </c>
      <c r="AK49" s="68" t="s">
        <v>372</v>
      </c>
      <c r="AL49" s="69" t="s">
        <v>248</v>
      </c>
      <c r="AM49" s="70" t="s">
        <v>249</v>
      </c>
      <c r="AN49" s="65" t="s">
        <v>244</v>
      </c>
      <c r="AO49" s="65" t="s">
        <v>244</v>
      </c>
      <c r="AP49" s="71" t="s">
        <v>250</v>
      </c>
      <c r="AQ49" s="72" t="s">
        <v>251</v>
      </c>
      <c r="AR49" s="72" t="s">
        <v>252</v>
      </c>
      <c r="AS49" s="72" t="s">
        <v>250</v>
      </c>
      <c r="AT49" s="72"/>
      <c r="AU49" s="72"/>
    </row>
    <row r="50" spans="1:47" ht="33.75" x14ac:dyDescent="0.2">
      <c r="A50" s="44">
        <v>166</v>
      </c>
      <c r="B50" s="33" t="s">
        <v>90</v>
      </c>
      <c r="C50" s="33" t="s">
        <v>78</v>
      </c>
      <c r="D50" s="33" t="s">
        <v>375</v>
      </c>
      <c r="E50" s="33"/>
      <c r="F50" s="45" t="s">
        <v>374</v>
      </c>
      <c r="G50" s="45" t="s">
        <v>69</v>
      </c>
      <c r="H50" s="45" t="s">
        <v>28</v>
      </c>
      <c r="I50" s="75">
        <v>2323366</v>
      </c>
      <c r="J50" s="195">
        <v>5</v>
      </c>
      <c r="K50" s="94">
        <v>11616830</v>
      </c>
      <c r="L50" s="59">
        <v>44968</v>
      </c>
      <c r="M50" s="58">
        <v>45097</v>
      </c>
      <c r="N50" s="78">
        <v>11616830</v>
      </c>
      <c r="O50" s="86"/>
      <c r="P50" s="86"/>
      <c r="Q50" s="78">
        <v>0</v>
      </c>
      <c r="R50" s="80">
        <v>11616830</v>
      </c>
      <c r="S50" s="87" t="s">
        <v>243</v>
      </c>
      <c r="T50" s="82" t="s">
        <v>373</v>
      </c>
      <c r="U50" s="88" t="s">
        <v>361</v>
      </c>
      <c r="V50" s="88" t="s">
        <v>244</v>
      </c>
      <c r="W50" s="84" t="s">
        <v>522</v>
      </c>
      <c r="X50" s="87">
        <v>80111600</v>
      </c>
      <c r="Y50" s="197" t="s">
        <v>516</v>
      </c>
      <c r="Z50" s="61">
        <v>44963</v>
      </c>
      <c r="AA50" s="61">
        <v>44963</v>
      </c>
      <c r="AB50" s="62">
        <v>5</v>
      </c>
      <c r="AC50" s="63" t="s">
        <v>241</v>
      </c>
      <c r="AD50" s="64" t="s">
        <v>242</v>
      </c>
      <c r="AE50" s="50">
        <v>11616830</v>
      </c>
      <c r="AF50" s="50">
        <v>11616830</v>
      </c>
      <c r="AG50" s="65" t="s">
        <v>244</v>
      </c>
      <c r="AH50" s="65" t="s">
        <v>245</v>
      </c>
      <c r="AI50" s="66" t="s">
        <v>246</v>
      </c>
      <c r="AJ50" s="67" t="s">
        <v>247</v>
      </c>
      <c r="AK50" s="68" t="s">
        <v>372</v>
      </c>
      <c r="AL50" s="69" t="s">
        <v>248</v>
      </c>
      <c r="AM50" s="70" t="s">
        <v>249</v>
      </c>
      <c r="AN50" s="65" t="s">
        <v>244</v>
      </c>
      <c r="AO50" s="65" t="s">
        <v>244</v>
      </c>
      <c r="AP50" s="71" t="s">
        <v>250</v>
      </c>
      <c r="AQ50" s="72" t="s">
        <v>251</v>
      </c>
      <c r="AR50" s="72" t="s">
        <v>252</v>
      </c>
      <c r="AS50" s="72" t="s">
        <v>250</v>
      </c>
      <c r="AT50" s="72"/>
      <c r="AU50" s="72"/>
    </row>
    <row r="51" spans="1:47" ht="57.75" customHeight="1" x14ac:dyDescent="0.2">
      <c r="A51" s="44">
        <v>167</v>
      </c>
      <c r="B51" s="33" t="s">
        <v>90</v>
      </c>
      <c r="C51" s="33" t="s">
        <v>78</v>
      </c>
      <c r="D51" s="33" t="s">
        <v>375</v>
      </c>
      <c r="E51" s="33"/>
      <c r="F51" s="45" t="s">
        <v>374</v>
      </c>
      <c r="G51" s="45" t="s">
        <v>69</v>
      </c>
      <c r="H51" s="45" t="s">
        <v>28</v>
      </c>
      <c r="I51" s="75">
        <v>4499532</v>
      </c>
      <c r="J51" s="195">
        <v>5</v>
      </c>
      <c r="K51" s="94">
        <v>22497660</v>
      </c>
      <c r="L51" s="59">
        <v>44968</v>
      </c>
      <c r="M51" s="58">
        <v>45097</v>
      </c>
      <c r="N51" s="78">
        <v>22497660</v>
      </c>
      <c r="O51" s="86"/>
      <c r="P51" s="86"/>
      <c r="Q51" s="78">
        <v>0</v>
      </c>
      <c r="R51" s="80">
        <v>22497660</v>
      </c>
      <c r="S51" s="87" t="s">
        <v>243</v>
      </c>
      <c r="T51" s="82" t="s">
        <v>373</v>
      </c>
      <c r="U51" s="88" t="s">
        <v>361</v>
      </c>
      <c r="V51" s="88" t="s">
        <v>244</v>
      </c>
      <c r="W51" s="84" t="s">
        <v>523</v>
      </c>
      <c r="X51" s="87">
        <v>80111600</v>
      </c>
      <c r="Y51" s="197" t="s">
        <v>516</v>
      </c>
      <c r="Z51" s="61">
        <v>44963</v>
      </c>
      <c r="AA51" s="61">
        <v>44963</v>
      </c>
      <c r="AB51" s="62">
        <v>5</v>
      </c>
      <c r="AC51" s="63" t="s">
        <v>241</v>
      </c>
      <c r="AD51" s="64" t="s">
        <v>242</v>
      </c>
      <c r="AE51" s="50">
        <v>22497660</v>
      </c>
      <c r="AF51" s="50">
        <v>22497660</v>
      </c>
      <c r="AG51" s="65" t="s">
        <v>244</v>
      </c>
      <c r="AH51" s="65" t="s">
        <v>245</v>
      </c>
      <c r="AI51" s="66" t="s">
        <v>246</v>
      </c>
      <c r="AJ51" s="67" t="s">
        <v>247</v>
      </c>
      <c r="AK51" s="68" t="s">
        <v>372</v>
      </c>
      <c r="AL51" s="69" t="s">
        <v>248</v>
      </c>
      <c r="AM51" s="70" t="s">
        <v>249</v>
      </c>
      <c r="AN51" s="65" t="s">
        <v>244</v>
      </c>
      <c r="AO51" s="65" t="s">
        <v>244</v>
      </c>
      <c r="AP51" s="71" t="s">
        <v>250</v>
      </c>
      <c r="AQ51" s="72" t="s">
        <v>251</v>
      </c>
      <c r="AR51" s="72" t="s">
        <v>252</v>
      </c>
      <c r="AS51" s="72" t="s">
        <v>250</v>
      </c>
      <c r="AT51" s="72"/>
      <c r="AU51" s="72"/>
    </row>
    <row r="52" spans="1:47" ht="52.5" customHeight="1" x14ac:dyDescent="0.2">
      <c r="A52" s="44">
        <v>168</v>
      </c>
      <c r="B52" s="33" t="s">
        <v>90</v>
      </c>
      <c r="C52" s="33" t="s">
        <v>78</v>
      </c>
      <c r="D52" s="33" t="s">
        <v>375</v>
      </c>
      <c r="E52" s="33"/>
      <c r="F52" s="45" t="s">
        <v>374</v>
      </c>
      <c r="G52" s="45" t="s">
        <v>67</v>
      </c>
      <c r="H52" s="45" t="s">
        <v>28</v>
      </c>
      <c r="I52" s="75">
        <v>1695580</v>
      </c>
      <c r="J52" s="195">
        <v>5</v>
      </c>
      <c r="K52" s="94">
        <v>8477900</v>
      </c>
      <c r="L52" s="59">
        <v>44968</v>
      </c>
      <c r="M52" s="58">
        <v>45097</v>
      </c>
      <c r="N52" s="78">
        <v>8477900</v>
      </c>
      <c r="O52" s="86"/>
      <c r="P52" s="86"/>
      <c r="Q52" s="78">
        <v>0</v>
      </c>
      <c r="R52" s="80">
        <v>8477900</v>
      </c>
      <c r="S52" s="87" t="s">
        <v>243</v>
      </c>
      <c r="T52" s="82" t="s">
        <v>373</v>
      </c>
      <c r="U52" s="88" t="s">
        <v>361</v>
      </c>
      <c r="V52" s="88" t="s">
        <v>244</v>
      </c>
      <c r="W52" s="84" t="s">
        <v>524</v>
      </c>
      <c r="X52" s="87">
        <v>80111600</v>
      </c>
      <c r="Y52" s="197" t="s">
        <v>516</v>
      </c>
      <c r="Z52" s="61">
        <v>44963</v>
      </c>
      <c r="AA52" s="61">
        <v>44963</v>
      </c>
      <c r="AB52" s="62">
        <v>5</v>
      </c>
      <c r="AC52" s="63" t="s">
        <v>241</v>
      </c>
      <c r="AD52" s="64" t="s">
        <v>242</v>
      </c>
      <c r="AE52" s="50">
        <v>8477900</v>
      </c>
      <c r="AF52" s="50">
        <v>8477900</v>
      </c>
      <c r="AG52" s="65" t="s">
        <v>244</v>
      </c>
      <c r="AH52" s="65" t="s">
        <v>245</v>
      </c>
      <c r="AI52" s="66" t="s">
        <v>246</v>
      </c>
      <c r="AJ52" s="67" t="s">
        <v>247</v>
      </c>
      <c r="AK52" s="68" t="s">
        <v>372</v>
      </c>
      <c r="AL52" s="69" t="s">
        <v>248</v>
      </c>
      <c r="AM52" s="70" t="s">
        <v>249</v>
      </c>
      <c r="AN52" s="65" t="s">
        <v>244</v>
      </c>
      <c r="AO52" s="65" t="s">
        <v>244</v>
      </c>
      <c r="AP52" s="71" t="s">
        <v>250</v>
      </c>
      <c r="AQ52" s="72" t="s">
        <v>251</v>
      </c>
      <c r="AR52" s="72" t="s">
        <v>252</v>
      </c>
      <c r="AS52" s="72" t="s">
        <v>250</v>
      </c>
      <c r="AT52" s="72"/>
      <c r="AU52" s="72"/>
    </row>
    <row r="53" spans="1:47" ht="33.75" x14ac:dyDescent="0.2">
      <c r="A53" s="44">
        <v>169</v>
      </c>
      <c r="B53" s="33" t="s">
        <v>90</v>
      </c>
      <c r="C53" s="33" t="s">
        <v>78</v>
      </c>
      <c r="D53" s="33" t="s">
        <v>375</v>
      </c>
      <c r="E53" s="33"/>
      <c r="F53" s="45" t="s">
        <v>374</v>
      </c>
      <c r="G53" s="45" t="s">
        <v>69</v>
      </c>
      <c r="H53" s="45" t="s">
        <v>28</v>
      </c>
      <c r="I53" s="75">
        <v>1924813</v>
      </c>
      <c r="J53" s="195">
        <v>5</v>
      </c>
      <c r="K53" s="94">
        <v>9624065</v>
      </c>
      <c r="L53" s="59">
        <v>44968</v>
      </c>
      <c r="M53" s="58">
        <v>45097</v>
      </c>
      <c r="N53" s="78">
        <v>9624065</v>
      </c>
      <c r="O53" s="86"/>
      <c r="P53" s="86"/>
      <c r="Q53" s="78">
        <v>0</v>
      </c>
      <c r="R53" s="80">
        <v>9624065</v>
      </c>
      <c r="S53" s="87" t="s">
        <v>243</v>
      </c>
      <c r="T53" s="82" t="s">
        <v>373</v>
      </c>
      <c r="U53" s="88" t="s">
        <v>361</v>
      </c>
      <c r="V53" s="88" t="s">
        <v>244</v>
      </c>
      <c r="W53" s="84" t="s">
        <v>525</v>
      </c>
      <c r="X53" s="87">
        <v>80111600</v>
      </c>
      <c r="Y53" s="197" t="s">
        <v>516</v>
      </c>
      <c r="Z53" s="61">
        <v>44963</v>
      </c>
      <c r="AA53" s="61">
        <v>44963</v>
      </c>
      <c r="AB53" s="62">
        <v>5</v>
      </c>
      <c r="AC53" s="63" t="s">
        <v>241</v>
      </c>
      <c r="AD53" s="64" t="s">
        <v>242</v>
      </c>
      <c r="AE53" s="50">
        <v>9624065</v>
      </c>
      <c r="AF53" s="50">
        <v>9624065</v>
      </c>
      <c r="AG53" s="65" t="s">
        <v>244</v>
      </c>
      <c r="AH53" s="65" t="s">
        <v>245</v>
      </c>
      <c r="AI53" s="66" t="s">
        <v>246</v>
      </c>
      <c r="AJ53" s="67" t="s">
        <v>247</v>
      </c>
      <c r="AK53" s="68" t="s">
        <v>372</v>
      </c>
      <c r="AL53" s="69" t="s">
        <v>248</v>
      </c>
      <c r="AM53" s="70" t="s">
        <v>249</v>
      </c>
      <c r="AN53" s="65" t="s">
        <v>244</v>
      </c>
      <c r="AO53" s="65" t="s">
        <v>244</v>
      </c>
      <c r="AP53" s="71" t="s">
        <v>250</v>
      </c>
      <c r="AQ53" s="72" t="s">
        <v>251</v>
      </c>
      <c r="AR53" s="72" t="s">
        <v>252</v>
      </c>
      <c r="AS53" s="72" t="s">
        <v>250</v>
      </c>
      <c r="AT53" s="72"/>
      <c r="AU53" s="72"/>
    </row>
    <row r="54" spans="1:47" ht="57.75" customHeight="1" x14ac:dyDescent="0.2">
      <c r="A54" s="44">
        <v>170</v>
      </c>
      <c r="B54" s="33" t="s">
        <v>90</v>
      </c>
      <c r="C54" s="33" t="s">
        <v>78</v>
      </c>
      <c r="D54" s="33" t="s">
        <v>375</v>
      </c>
      <c r="E54" s="33"/>
      <c r="F54" s="45" t="s">
        <v>374</v>
      </c>
      <c r="G54" s="45" t="s">
        <v>69</v>
      </c>
      <c r="H54" s="45" t="s">
        <v>28</v>
      </c>
      <c r="I54" s="75">
        <v>2997721</v>
      </c>
      <c r="J54" s="195">
        <v>5</v>
      </c>
      <c r="K54" s="94">
        <v>14988605</v>
      </c>
      <c r="L54" s="59">
        <v>44968</v>
      </c>
      <c r="M54" s="58">
        <v>45097</v>
      </c>
      <c r="N54" s="78">
        <v>14998605</v>
      </c>
      <c r="O54" s="86"/>
      <c r="P54" s="86"/>
      <c r="Q54" s="78">
        <v>0</v>
      </c>
      <c r="R54" s="80">
        <v>14988605</v>
      </c>
      <c r="S54" s="87" t="s">
        <v>243</v>
      </c>
      <c r="T54" s="82" t="s">
        <v>373</v>
      </c>
      <c r="U54" s="88" t="s">
        <v>361</v>
      </c>
      <c r="V54" s="88" t="s">
        <v>244</v>
      </c>
      <c r="W54" s="84" t="s">
        <v>526</v>
      </c>
      <c r="X54" s="87">
        <v>80111600</v>
      </c>
      <c r="Y54" s="197" t="s">
        <v>516</v>
      </c>
      <c r="Z54" s="61">
        <v>44963</v>
      </c>
      <c r="AA54" s="61">
        <v>44963</v>
      </c>
      <c r="AB54" s="62">
        <v>5</v>
      </c>
      <c r="AC54" s="63" t="s">
        <v>241</v>
      </c>
      <c r="AD54" s="64" t="s">
        <v>242</v>
      </c>
      <c r="AE54" s="50">
        <v>14998605</v>
      </c>
      <c r="AF54" s="50">
        <v>14998605</v>
      </c>
      <c r="AG54" s="65" t="s">
        <v>244</v>
      </c>
      <c r="AH54" s="65" t="s">
        <v>245</v>
      </c>
      <c r="AI54" s="66" t="s">
        <v>246</v>
      </c>
      <c r="AJ54" s="67" t="s">
        <v>247</v>
      </c>
      <c r="AK54" s="68" t="s">
        <v>372</v>
      </c>
      <c r="AL54" s="69" t="s">
        <v>248</v>
      </c>
      <c r="AM54" s="70" t="s">
        <v>249</v>
      </c>
      <c r="AN54" s="65" t="s">
        <v>244</v>
      </c>
      <c r="AO54" s="65" t="s">
        <v>244</v>
      </c>
      <c r="AP54" s="71" t="s">
        <v>250</v>
      </c>
      <c r="AQ54" s="72" t="s">
        <v>251</v>
      </c>
      <c r="AR54" s="72" t="s">
        <v>252</v>
      </c>
      <c r="AS54" s="72" t="s">
        <v>250</v>
      </c>
      <c r="AT54" s="72"/>
      <c r="AU54" s="72"/>
    </row>
    <row r="55" spans="1:47" ht="54" customHeight="1" x14ac:dyDescent="0.2">
      <c r="A55" s="44">
        <v>171</v>
      </c>
      <c r="B55" s="33" t="s">
        <v>90</v>
      </c>
      <c r="C55" s="33" t="s">
        <v>78</v>
      </c>
      <c r="D55" s="33" t="s">
        <v>375</v>
      </c>
      <c r="E55" s="33"/>
      <c r="F55" s="45" t="s">
        <v>374</v>
      </c>
      <c r="G55" s="45" t="s">
        <v>67</v>
      </c>
      <c r="H55" s="45" t="s">
        <v>28</v>
      </c>
      <c r="I55" s="75">
        <v>1866202</v>
      </c>
      <c r="J55" s="195">
        <v>5</v>
      </c>
      <c r="K55" s="93">
        <v>9331010</v>
      </c>
      <c r="L55" s="59">
        <v>44968</v>
      </c>
      <c r="M55" s="58">
        <v>45097</v>
      </c>
      <c r="N55" s="78">
        <v>9331010</v>
      </c>
      <c r="O55" s="86"/>
      <c r="P55" s="86"/>
      <c r="Q55" s="78">
        <v>0</v>
      </c>
      <c r="R55" s="78">
        <v>9331010</v>
      </c>
      <c r="S55" s="87" t="s">
        <v>243</v>
      </c>
      <c r="T55" s="82" t="s">
        <v>373</v>
      </c>
      <c r="U55" s="88" t="s">
        <v>361</v>
      </c>
      <c r="V55" s="83" t="s">
        <v>244</v>
      </c>
      <c r="W55" s="84" t="s">
        <v>527</v>
      </c>
      <c r="X55" s="87">
        <v>80111600</v>
      </c>
      <c r="Y55" s="197" t="s">
        <v>516</v>
      </c>
      <c r="Z55" s="61">
        <v>44963</v>
      </c>
      <c r="AA55" s="61">
        <v>44963</v>
      </c>
      <c r="AB55" s="62">
        <v>5</v>
      </c>
      <c r="AC55" s="63" t="s">
        <v>241</v>
      </c>
      <c r="AD55" s="64" t="s">
        <v>242</v>
      </c>
      <c r="AE55" s="50">
        <v>9331010</v>
      </c>
      <c r="AF55" s="50">
        <v>9331010</v>
      </c>
      <c r="AG55" s="65" t="s">
        <v>244</v>
      </c>
      <c r="AH55" s="65" t="s">
        <v>245</v>
      </c>
      <c r="AI55" s="66" t="s">
        <v>246</v>
      </c>
      <c r="AJ55" s="67" t="s">
        <v>247</v>
      </c>
      <c r="AK55" s="68" t="s">
        <v>372</v>
      </c>
      <c r="AL55" s="69" t="s">
        <v>248</v>
      </c>
      <c r="AM55" s="70" t="s">
        <v>249</v>
      </c>
      <c r="AN55" s="65" t="s">
        <v>244</v>
      </c>
      <c r="AO55" s="65" t="s">
        <v>244</v>
      </c>
      <c r="AP55" s="71" t="s">
        <v>250</v>
      </c>
      <c r="AQ55" s="72" t="s">
        <v>251</v>
      </c>
      <c r="AR55" s="72" t="s">
        <v>252</v>
      </c>
      <c r="AS55" s="72" t="s">
        <v>250</v>
      </c>
      <c r="AT55" s="72"/>
      <c r="AU55" s="72"/>
    </row>
    <row r="56" spans="1:47" ht="52.5" customHeight="1" x14ac:dyDescent="0.2">
      <c r="A56" s="44">
        <v>172</v>
      </c>
      <c r="B56" s="33" t="s">
        <v>90</v>
      </c>
      <c r="C56" s="33" t="s">
        <v>78</v>
      </c>
      <c r="D56" s="33" t="s">
        <v>375</v>
      </c>
      <c r="E56" s="33"/>
      <c r="F56" s="45" t="s">
        <v>374</v>
      </c>
      <c r="G56" s="45" t="s">
        <v>69</v>
      </c>
      <c r="H56" s="45" t="s">
        <v>28</v>
      </c>
      <c r="I56" s="75">
        <v>0</v>
      </c>
      <c r="J56" s="195">
        <v>5</v>
      </c>
      <c r="K56" s="93">
        <v>12281086</v>
      </c>
      <c r="L56" s="59">
        <v>44968</v>
      </c>
      <c r="M56" s="58">
        <v>45097</v>
      </c>
      <c r="N56" s="78">
        <v>12281086</v>
      </c>
      <c r="O56" s="86"/>
      <c r="P56" s="86"/>
      <c r="Q56" s="78">
        <v>0</v>
      </c>
      <c r="R56" s="78">
        <v>12281086</v>
      </c>
      <c r="S56" s="87" t="s">
        <v>243</v>
      </c>
      <c r="T56" s="82" t="s">
        <v>373</v>
      </c>
      <c r="U56" s="88" t="s">
        <v>361</v>
      </c>
      <c r="V56" s="83" t="s">
        <v>244</v>
      </c>
      <c r="W56" s="84" t="s">
        <v>528</v>
      </c>
      <c r="X56" s="87">
        <v>80111600</v>
      </c>
      <c r="Y56" s="197" t="s">
        <v>516</v>
      </c>
      <c r="Z56" s="61">
        <v>44963</v>
      </c>
      <c r="AA56" s="61">
        <v>44963</v>
      </c>
      <c r="AB56" s="62">
        <v>5</v>
      </c>
      <c r="AC56" s="63" t="s">
        <v>241</v>
      </c>
      <c r="AD56" s="64" t="s">
        <v>242</v>
      </c>
      <c r="AE56" s="50">
        <v>12281086</v>
      </c>
      <c r="AF56" s="50">
        <v>12281086</v>
      </c>
      <c r="AG56" s="65" t="s">
        <v>244</v>
      </c>
      <c r="AH56" s="65" t="s">
        <v>245</v>
      </c>
      <c r="AI56" s="66" t="s">
        <v>246</v>
      </c>
      <c r="AJ56" s="67" t="s">
        <v>247</v>
      </c>
      <c r="AK56" s="68" t="s">
        <v>372</v>
      </c>
      <c r="AL56" s="69" t="s">
        <v>248</v>
      </c>
      <c r="AM56" s="70" t="s">
        <v>249</v>
      </c>
      <c r="AN56" s="65" t="s">
        <v>244</v>
      </c>
      <c r="AO56" s="65" t="s">
        <v>244</v>
      </c>
      <c r="AP56" s="71" t="s">
        <v>250</v>
      </c>
      <c r="AQ56" s="72" t="s">
        <v>251</v>
      </c>
      <c r="AR56" s="72" t="s">
        <v>252</v>
      </c>
      <c r="AS56" s="72" t="s">
        <v>250</v>
      </c>
      <c r="AT56" s="72"/>
      <c r="AU56" s="72"/>
    </row>
    <row r="57" spans="1:47" ht="61.5" customHeight="1" x14ac:dyDescent="0.2">
      <c r="A57" s="44">
        <v>173</v>
      </c>
      <c r="B57" s="33" t="s">
        <v>90</v>
      </c>
      <c r="C57" s="33" t="s">
        <v>78</v>
      </c>
      <c r="D57" s="33" t="s">
        <v>375</v>
      </c>
      <c r="E57" s="33"/>
      <c r="F57" s="45" t="s">
        <v>374</v>
      </c>
      <c r="G57" s="45" t="s">
        <v>69</v>
      </c>
      <c r="H57" s="45" t="s">
        <v>28</v>
      </c>
      <c r="I57" s="75">
        <v>2456217</v>
      </c>
      <c r="J57" s="195">
        <v>5</v>
      </c>
      <c r="K57" s="94">
        <v>12281085</v>
      </c>
      <c r="L57" s="59">
        <v>44970</v>
      </c>
      <c r="M57" s="58">
        <v>45097</v>
      </c>
      <c r="N57" s="78">
        <v>12281085</v>
      </c>
      <c r="O57" s="86"/>
      <c r="P57" s="86"/>
      <c r="Q57" s="78">
        <v>0</v>
      </c>
      <c r="R57" s="80">
        <v>12281085</v>
      </c>
      <c r="S57" s="87" t="s">
        <v>243</v>
      </c>
      <c r="T57" s="82" t="s">
        <v>373</v>
      </c>
      <c r="U57" s="88" t="s">
        <v>361</v>
      </c>
      <c r="V57" s="88" t="s">
        <v>244</v>
      </c>
      <c r="W57" s="84" t="s">
        <v>529</v>
      </c>
      <c r="X57" s="87">
        <v>80111600</v>
      </c>
      <c r="Y57" s="197" t="s">
        <v>516</v>
      </c>
      <c r="Z57" s="61">
        <v>44963</v>
      </c>
      <c r="AA57" s="61">
        <v>44963</v>
      </c>
      <c r="AB57" s="62">
        <v>5</v>
      </c>
      <c r="AC57" s="63" t="s">
        <v>241</v>
      </c>
      <c r="AD57" s="64" t="s">
        <v>242</v>
      </c>
      <c r="AE57" s="50">
        <v>12281085</v>
      </c>
      <c r="AF57" s="50">
        <v>12281085</v>
      </c>
      <c r="AG57" s="65" t="s">
        <v>244</v>
      </c>
      <c r="AH57" s="65" t="s">
        <v>245</v>
      </c>
      <c r="AI57" s="66" t="s">
        <v>246</v>
      </c>
      <c r="AJ57" s="67" t="s">
        <v>247</v>
      </c>
      <c r="AK57" s="68" t="s">
        <v>372</v>
      </c>
      <c r="AL57" s="69" t="s">
        <v>248</v>
      </c>
      <c r="AM57" s="70" t="s">
        <v>249</v>
      </c>
      <c r="AN57" s="65" t="s">
        <v>244</v>
      </c>
      <c r="AO57" s="65" t="s">
        <v>244</v>
      </c>
      <c r="AP57" s="71" t="s">
        <v>250</v>
      </c>
      <c r="AQ57" s="72" t="s">
        <v>251</v>
      </c>
      <c r="AR57" s="72" t="s">
        <v>252</v>
      </c>
      <c r="AS57" s="72" t="s">
        <v>250</v>
      </c>
      <c r="AT57" s="72"/>
      <c r="AU57" s="72"/>
    </row>
    <row r="58" spans="1:47" ht="56.25" customHeight="1" x14ac:dyDescent="0.2">
      <c r="A58" s="44">
        <v>174</v>
      </c>
      <c r="B58" s="33" t="s">
        <v>90</v>
      </c>
      <c r="C58" s="33" t="s">
        <v>78</v>
      </c>
      <c r="D58" s="33" t="s">
        <v>375</v>
      </c>
      <c r="E58" s="33"/>
      <c r="F58" s="45" t="s">
        <v>374</v>
      </c>
      <c r="G58" s="45" t="s">
        <v>69</v>
      </c>
      <c r="H58" s="45" t="s">
        <v>28</v>
      </c>
      <c r="I58" s="75">
        <v>4499532</v>
      </c>
      <c r="J58" s="195">
        <v>5</v>
      </c>
      <c r="K58" s="94">
        <v>22497660</v>
      </c>
      <c r="L58" s="59">
        <v>44968</v>
      </c>
      <c r="M58" s="58">
        <v>45097</v>
      </c>
      <c r="N58" s="78">
        <v>22497660</v>
      </c>
      <c r="O58" s="86"/>
      <c r="P58" s="86"/>
      <c r="Q58" s="78">
        <v>0</v>
      </c>
      <c r="R58" s="80">
        <v>22497660</v>
      </c>
      <c r="S58" s="87" t="s">
        <v>243</v>
      </c>
      <c r="T58" s="82" t="s">
        <v>373</v>
      </c>
      <c r="U58" s="88" t="s">
        <v>361</v>
      </c>
      <c r="V58" s="88" t="s">
        <v>244</v>
      </c>
      <c r="W58" s="84" t="s">
        <v>530</v>
      </c>
      <c r="X58" s="87">
        <v>80111600</v>
      </c>
      <c r="Y58" s="197" t="s">
        <v>516</v>
      </c>
      <c r="Z58" s="61">
        <v>44963</v>
      </c>
      <c r="AA58" s="61">
        <v>44963</v>
      </c>
      <c r="AB58" s="62">
        <v>5</v>
      </c>
      <c r="AC58" s="63" t="s">
        <v>241</v>
      </c>
      <c r="AD58" s="64" t="s">
        <v>242</v>
      </c>
      <c r="AE58" s="50">
        <v>22497660</v>
      </c>
      <c r="AF58" s="198">
        <v>22497660</v>
      </c>
      <c r="AG58" s="65" t="s">
        <v>244</v>
      </c>
      <c r="AH58" s="65" t="s">
        <v>245</v>
      </c>
      <c r="AI58" s="66" t="s">
        <v>246</v>
      </c>
      <c r="AJ58" s="67" t="s">
        <v>247</v>
      </c>
      <c r="AK58" s="68" t="s">
        <v>372</v>
      </c>
      <c r="AL58" s="69" t="s">
        <v>248</v>
      </c>
      <c r="AM58" s="70" t="s">
        <v>249</v>
      </c>
      <c r="AN58" s="65" t="s">
        <v>244</v>
      </c>
      <c r="AO58" s="65" t="s">
        <v>244</v>
      </c>
      <c r="AP58" s="71" t="s">
        <v>250</v>
      </c>
      <c r="AQ58" s="72" t="s">
        <v>251</v>
      </c>
      <c r="AR58" s="72" t="s">
        <v>252</v>
      </c>
      <c r="AS58" s="72" t="s">
        <v>250</v>
      </c>
      <c r="AT58" s="72"/>
      <c r="AU58" s="72"/>
    </row>
    <row r="59" spans="1:47" ht="53.25" customHeight="1" x14ac:dyDescent="0.2">
      <c r="A59" s="44">
        <v>175</v>
      </c>
      <c r="B59" s="33" t="s">
        <v>90</v>
      </c>
      <c r="C59" s="33" t="s">
        <v>78</v>
      </c>
      <c r="D59" s="33" t="s">
        <v>375</v>
      </c>
      <c r="E59" s="33"/>
      <c r="F59" s="45" t="s">
        <v>374</v>
      </c>
      <c r="G59" s="45" t="s">
        <v>69</v>
      </c>
      <c r="H59" s="45" t="s">
        <v>28</v>
      </c>
      <c r="I59" s="75">
        <v>2997721</v>
      </c>
      <c r="J59" s="195">
        <v>5</v>
      </c>
      <c r="K59" s="94">
        <v>14988605</v>
      </c>
      <c r="L59" s="59">
        <v>44968</v>
      </c>
      <c r="M59" s="58">
        <v>45097</v>
      </c>
      <c r="N59" s="78">
        <v>14988605</v>
      </c>
      <c r="O59" s="86"/>
      <c r="P59" s="86"/>
      <c r="Q59" s="78">
        <v>0</v>
      </c>
      <c r="R59" s="80">
        <v>14988605</v>
      </c>
      <c r="S59" s="87" t="s">
        <v>243</v>
      </c>
      <c r="T59" s="82" t="s">
        <v>373</v>
      </c>
      <c r="U59" s="88" t="s">
        <v>361</v>
      </c>
      <c r="V59" s="88" t="s">
        <v>244</v>
      </c>
      <c r="W59" s="84" t="s">
        <v>531</v>
      </c>
      <c r="X59" s="87">
        <v>80111600</v>
      </c>
      <c r="Y59" s="197" t="s">
        <v>516</v>
      </c>
      <c r="Z59" s="61">
        <v>44963</v>
      </c>
      <c r="AA59" s="61">
        <v>44963</v>
      </c>
      <c r="AB59" s="62">
        <v>5</v>
      </c>
      <c r="AC59" s="63" t="s">
        <v>241</v>
      </c>
      <c r="AD59" s="64" t="s">
        <v>242</v>
      </c>
      <c r="AE59" s="50">
        <v>14988605</v>
      </c>
      <c r="AF59" s="50">
        <v>14988605</v>
      </c>
      <c r="AG59" s="65" t="s">
        <v>244</v>
      </c>
      <c r="AH59" s="65" t="s">
        <v>245</v>
      </c>
      <c r="AI59" s="66" t="s">
        <v>246</v>
      </c>
      <c r="AJ59" s="67" t="s">
        <v>247</v>
      </c>
      <c r="AK59" s="68" t="s">
        <v>372</v>
      </c>
      <c r="AL59" s="69" t="s">
        <v>248</v>
      </c>
      <c r="AM59" s="70" t="s">
        <v>249</v>
      </c>
      <c r="AN59" s="65" t="s">
        <v>244</v>
      </c>
      <c r="AO59" s="65" t="s">
        <v>244</v>
      </c>
      <c r="AP59" s="71" t="s">
        <v>250</v>
      </c>
      <c r="AQ59" s="72" t="s">
        <v>251</v>
      </c>
      <c r="AR59" s="72" t="s">
        <v>252</v>
      </c>
      <c r="AS59" s="72" t="s">
        <v>250</v>
      </c>
      <c r="AT59" s="72"/>
      <c r="AU59" s="72"/>
    </row>
    <row r="60" spans="1:47" ht="56.25" customHeight="1" x14ac:dyDescent="0.2">
      <c r="A60" s="44">
        <v>176</v>
      </c>
      <c r="B60" s="33" t="s">
        <v>90</v>
      </c>
      <c r="C60" s="33" t="s">
        <v>78</v>
      </c>
      <c r="D60" s="33" t="s">
        <v>375</v>
      </c>
      <c r="E60" s="33"/>
      <c r="F60" s="45" t="s">
        <v>374</v>
      </c>
      <c r="G60" s="45" t="s">
        <v>69</v>
      </c>
      <c r="H60" s="45" t="s">
        <v>28</v>
      </c>
      <c r="I60" s="75">
        <v>3449574</v>
      </c>
      <c r="J60" s="195">
        <v>5</v>
      </c>
      <c r="K60" s="94">
        <v>17247870</v>
      </c>
      <c r="L60" s="59">
        <v>44968</v>
      </c>
      <c r="M60" s="58">
        <v>45097</v>
      </c>
      <c r="N60" s="78">
        <v>17247870</v>
      </c>
      <c r="O60" s="86"/>
      <c r="P60" s="86"/>
      <c r="Q60" s="78">
        <v>0</v>
      </c>
      <c r="R60" s="80">
        <v>17247870</v>
      </c>
      <c r="S60" s="87" t="s">
        <v>243</v>
      </c>
      <c r="T60" s="199" t="s">
        <v>15</v>
      </c>
      <c r="U60" s="88" t="s">
        <v>361</v>
      </c>
      <c r="V60" s="88" t="s">
        <v>244</v>
      </c>
      <c r="W60" s="84" t="s">
        <v>532</v>
      </c>
      <c r="X60" s="87">
        <v>80111600</v>
      </c>
      <c r="Y60" s="197" t="s">
        <v>516</v>
      </c>
      <c r="Z60" s="61">
        <v>44963</v>
      </c>
      <c r="AA60" s="61">
        <v>44963</v>
      </c>
      <c r="AB60" s="62">
        <v>5</v>
      </c>
      <c r="AC60" s="63" t="s">
        <v>241</v>
      </c>
      <c r="AD60" s="64" t="s">
        <v>242</v>
      </c>
      <c r="AE60" s="50">
        <v>17247870</v>
      </c>
      <c r="AF60" s="50">
        <v>17247870</v>
      </c>
      <c r="AG60" s="65" t="s">
        <v>244</v>
      </c>
      <c r="AH60" s="65" t="s">
        <v>245</v>
      </c>
      <c r="AI60" s="66" t="s">
        <v>246</v>
      </c>
      <c r="AJ60" s="67" t="s">
        <v>247</v>
      </c>
      <c r="AK60" s="68" t="s">
        <v>372</v>
      </c>
      <c r="AL60" s="69" t="s">
        <v>248</v>
      </c>
      <c r="AM60" s="70" t="s">
        <v>249</v>
      </c>
      <c r="AN60" s="65" t="s">
        <v>244</v>
      </c>
      <c r="AO60" s="65" t="s">
        <v>244</v>
      </c>
      <c r="AP60" s="71" t="s">
        <v>250</v>
      </c>
      <c r="AQ60" s="72" t="s">
        <v>251</v>
      </c>
      <c r="AR60" s="72" t="s">
        <v>252</v>
      </c>
      <c r="AS60" s="72" t="s">
        <v>250</v>
      </c>
      <c r="AT60" s="72"/>
      <c r="AU60" s="72"/>
    </row>
    <row r="61" spans="1:47" ht="57.75" customHeight="1" x14ac:dyDescent="0.2">
      <c r="A61" s="44">
        <v>177</v>
      </c>
      <c r="B61" s="33" t="s">
        <v>90</v>
      </c>
      <c r="C61" s="33" t="s">
        <v>78</v>
      </c>
      <c r="D61" s="33" t="s">
        <v>375</v>
      </c>
      <c r="E61" s="33"/>
      <c r="F61" s="45" t="s">
        <v>374</v>
      </c>
      <c r="G61" s="45" t="s">
        <v>69</v>
      </c>
      <c r="H61" s="45" t="s">
        <v>28</v>
      </c>
      <c r="I61" s="75">
        <v>862004</v>
      </c>
      <c r="J61" s="195">
        <v>5</v>
      </c>
      <c r="K61" s="94">
        <v>4310020</v>
      </c>
      <c r="L61" s="59">
        <v>44968</v>
      </c>
      <c r="M61" s="58">
        <v>45097</v>
      </c>
      <c r="N61" s="78">
        <v>4310020</v>
      </c>
      <c r="O61" s="86"/>
      <c r="P61" s="86"/>
      <c r="Q61" s="78">
        <v>0</v>
      </c>
      <c r="R61" s="80">
        <v>4310020</v>
      </c>
      <c r="S61" s="87" t="s">
        <v>243</v>
      </c>
      <c r="T61" s="82" t="s">
        <v>373</v>
      </c>
      <c r="U61" s="88" t="s">
        <v>361</v>
      </c>
      <c r="V61" s="88" t="s">
        <v>244</v>
      </c>
      <c r="W61" s="84" t="s">
        <v>533</v>
      </c>
      <c r="X61" s="87">
        <v>80111600</v>
      </c>
      <c r="Y61" s="197" t="s">
        <v>516</v>
      </c>
      <c r="Z61" s="61">
        <v>44963</v>
      </c>
      <c r="AA61" s="61">
        <v>44963</v>
      </c>
      <c r="AB61" s="62">
        <v>5</v>
      </c>
      <c r="AC61" s="63" t="s">
        <v>241</v>
      </c>
      <c r="AD61" s="64" t="s">
        <v>242</v>
      </c>
      <c r="AE61" s="50">
        <v>4310020</v>
      </c>
      <c r="AF61" s="50">
        <v>4310020</v>
      </c>
      <c r="AG61" s="65" t="s">
        <v>244</v>
      </c>
      <c r="AH61" s="65" t="s">
        <v>245</v>
      </c>
      <c r="AI61" s="66" t="s">
        <v>246</v>
      </c>
      <c r="AJ61" s="67" t="s">
        <v>247</v>
      </c>
      <c r="AK61" s="68" t="s">
        <v>372</v>
      </c>
      <c r="AL61" s="69" t="s">
        <v>248</v>
      </c>
      <c r="AM61" s="70" t="s">
        <v>249</v>
      </c>
      <c r="AN61" s="65" t="s">
        <v>244</v>
      </c>
      <c r="AO61" s="65" t="s">
        <v>244</v>
      </c>
      <c r="AP61" s="71" t="s">
        <v>250</v>
      </c>
      <c r="AQ61" s="72" t="s">
        <v>251</v>
      </c>
      <c r="AR61" s="72" t="s">
        <v>252</v>
      </c>
      <c r="AS61" s="72" t="s">
        <v>250</v>
      </c>
      <c r="AT61" s="72"/>
      <c r="AU61" s="72"/>
    </row>
    <row r="62" spans="1:47" ht="33.75" x14ac:dyDescent="0.2">
      <c r="A62" s="44">
        <v>179</v>
      </c>
      <c r="B62" s="33" t="s">
        <v>90</v>
      </c>
      <c r="C62" s="33" t="s">
        <v>78</v>
      </c>
      <c r="D62" s="33" t="s">
        <v>375</v>
      </c>
      <c r="E62" s="33"/>
      <c r="F62" s="45" t="s">
        <v>374</v>
      </c>
      <c r="G62" s="45" t="s">
        <v>67</v>
      </c>
      <c r="H62" s="45" t="s">
        <v>28</v>
      </c>
      <c r="I62" s="75">
        <v>1013090</v>
      </c>
      <c r="J62" s="195">
        <v>5</v>
      </c>
      <c r="K62" s="94">
        <v>5065450</v>
      </c>
      <c r="L62" s="59">
        <v>44968</v>
      </c>
      <c r="M62" s="58">
        <v>45097</v>
      </c>
      <c r="N62" s="80">
        <v>5065450</v>
      </c>
      <c r="O62" s="86"/>
      <c r="P62" s="86"/>
      <c r="Q62" s="78">
        <v>0</v>
      </c>
      <c r="R62" s="80">
        <v>5065450</v>
      </c>
      <c r="S62" s="87" t="s">
        <v>243</v>
      </c>
      <c r="T62" s="82" t="s">
        <v>373</v>
      </c>
      <c r="U62" s="88" t="s">
        <v>361</v>
      </c>
      <c r="V62" s="83" t="s">
        <v>244</v>
      </c>
      <c r="W62" s="84" t="s">
        <v>534</v>
      </c>
      <c r="X62" s="87">
        <v>80111600</v>
      </c>
      <c r="Y62" s="197" t="s">
        <v>516</v>
      </c>
      <c r="Z62" s="61">
        <v>44963</v>
      </c>
      <c r="AA62" s="61">
        <v>44964</v>
      </c>
      <c r="AB62" s="62">
        <v>5</v>
      </c>
      <c r="AC62" s="63" t="s">
        <v>241</v>
      </c>
      <c r="AD62" s="64" t="s">
        <v>242</v>
      </c>
      <c r="AE62" s="50">
        <v>5065450</v>
      </c>
      <c r="AF62" s="50">
        <v>5065450</v>
      </c>
      <c r="AG62" s="65" t="s">
        <v>244</v>
      </c>
      <c r="AH62" s="65" t="s">
        <v>245</v>
      </c>
      <c r="AI62" s="66" t="s">
        <v>246</v>
      </c>
      <c r="AJ62" s="67" t="s">
        <v>247</v>
      </c>
      <c r="AK62" s="68" t="s">
        <v>372</v>
      </c>
      <c r="AL62" s="69" t="s">
        <v>248</v>
      </c>
      <c r="AM62" s="70" t="s">
        <v>249</v>
      </c>
      <c r="AN62" s="65" t="s">
        <v>244</v>
      </c>
      <c r="AO62" s="65" t="s">
        <v>244</v>
      </c>
      <c r="AP62" s="71" t="s">
        <v>250</v>
      </c>
      <c r="AQ62" s="72" t="s">
        <v>251</v>
      </c>
      <c r="AR62" s="72" t="s">
        <v>252</v>
      </c>
      <c r="AS62" s="72" t="s">
        <v>250</v>
      </c>
      <c r="AT62" s="72"/>
      <c r="AU62" s="72"/>
    </row>
    <row r="63" spans="1:47" ht="33.75" x14ac:dyDescent="0.2">
      <c r="A63" s="44">
        <v>180</v>
      </c>
      <c r="B63" s="33" t="s">
        <v>90</v>
      </c>
      <c r="C63" s="33" t="s">
        <v>78</v>
      </c>
      <c r="D63" s="33" t="s">
        <v>375</v>
      </c>
      <c r="E63" s="33"/>
      <c r="F63" s="45" t="s">
        <v>374</v>
      </c>
      <c r="G63" s="45" t="s">
        <v>67</v>
      </c>
      <c r="H63" s="45" t="s">
        <v>28</v>
      </c>
      <c r="I63" s="75">
        <v>0</v>
      </c>
      <c r="J63" s="195">
        <v>5</v>
      </c>
      <c r="K63" s="94">
        <v>19288247</v>
      </c>
      <c r="L63" s="59">
        <v>44968</v>
      </c>
      <c r="M63" s="58">
        <v>45097</v>
      </c>
      <c r="N63" s="80">
        <v>19288247</v>
      </c>
      <c r="O63" s="86"/>
      <c r="P63" s="86"/>
      <c r="Q63" s="78">
        <v>0</v>
      </c>
      <c r="R63" s="80">
        <v>19288247</v>
      </c>
      <c r="S63" s="87" t="s">
        <v>243</v>
      </c>
      <c r="T63" s="82" t="s">
        <v>373</v>
      </c>
      <c r="U63" s="88" t="s">
        <v>361</v>
      </c>
      <c r="V63" s="83" t="s">
        <v>244</v>
      </c>
      <c r="W63" s="84" t="s">
        <v>535</v>
      </c>
      <c r="X63" s="87">
        <v>80111600</v>
      </c>
      <c r="Y63" s="197" t="s">
        <v>516</v>
      </c>
      <c r="Z63" s="61">
        <v>44963</v>
      </c>
      <c r="AA63" s="61">
        <v>44964</v>
      </c>
      <c r="AB63" s="62">
        <v>5</v>
      </c>
      <c r="AC63" s="63" t="s">
        <v>241</v>
      </c>
      <c r="AD63" s="64" t="s">
        <v>242</v>
      </c>
      <c r="AE63" s="50">
        <v>19288247</v>
      </c>
      <c r="AF63" s="50">
        <v>19288247</v>
      </c>
      <c r="AG63" s="65" t="s">
        <v>244</v>
      </c>
      <c r="AH63" s="65" t="s">
        <v>245</v>
      </c>
      <c r="AI63" s="66" t="s">
        <v>246</v>
      </c>
      <c r="AJ63" s="67" t="s">
        <v>247</v>
      </c>
      <c r="AK63" s="68" t="s">
        <v>372</v>
      </c>
      <c r="AL63" s="69" t="s">
        <v>248</v>
      </c>
      <c r="AM63" s="70" t="s">
        <v>249</v>
      </c>
      <c r="AN63" s="65" t="s">
        <v>244</v>
      </c>
      <c r="AO63" s="65" t="s">
        <v>244</v>
      </c>
      <c r="AP63" s="71" t="s">
        <v>250</v>
      </c>
      <c r="AQ63" s="72" t="s">
        <v>251</v>
      </c>
      <c r="AR63" s="72" t="s">
        <v>252</v>
      </c>
      <c r="AS63" s="72" t="s">
        <v>250</v>
      </c>
      <c r="AT63" s="72"/>
      <c r="AU63" s="72"/>
    </row>
    <row r="64" spans="1:47" ht="33.75" x14ac:dyDescent="0.2">
      <c r="A64" s="44">
        <v>181</v>
      </c>
      <c r="B64" s="33" t="s">
        <v>90</v>
      </c>
      <c r="C64" s="33" t="s">
        <v>78</v>
      </c>
      <c r="D64" s="33" t="s">
        <v>375</v>
      </c>
      <c r="E64" s="33"/>
      <c r="F64" s="45" t="s">
        <v>374</v>
      </c>
      <c r="G64" s="45" t="s">
        <v>67</v>
      </c>
      <c r="H64" s="45" t="s">
        <v>28</v>
      </c>
      <c r="I64" s="75">
        <v>0</v>
      </c>
      <c r="J64" s="195">
        <v>5</v>
      </c>
      <c r="K64" s="94">
        <v>15701757</v>
      </c>
      <c r="L64" s="59">
        <v>44968</v>
      </c>
      <c r="M64" s="58">
        <v>45097</v>
      </c>
      <c r="N64" s="80">
        <v>15701757</v>
      </c>
      <c r="O64" s="86"/>
      <c r="P64" s="86"/>
      <c r="Q64" s="78">
        <v>0</v>
      </c>
      <c r="R64" s="80">
        <v>15701757</v>
      </c>
      <c r="S64" s="87" t="s">
        <v>243</v>
      </c>
      <c r="T64" s="82" t="s">
        <v>373</v>
      </c>
      <c r="U64" s="88" t="s">
        <v>361</v>
      </c>
      <c r="V64" s="83" t="s">
        <v>244</v>
      </c>
      <c r="W64" s="84" t="s">
        <v>536</v>
      </c>
      <c r="X64" s="87">
        <v>80111600</v>
      </c>
      <c r="Y64" s="197" t="s">
        <v>516</v>
      </c>
      <c r="Z64" s="61">
        <v>44963</v>
      </c>
      <c r="AA64" s="61">
        <v>44964</v>
      </c>
      <c r="AB64" s="62">
        <v>5</v>
      </c>
      <c r="AC64" s="63" t="s">
        <v>241</v>
      </c>
      <c r="AD64" s="64" t="s">
        <v>242</v>
      </c>
      <c r="AE64" s="50">
        <v>15701757</v>
      </c>
      <c r="AF64" s="50">
        <v>15701757</v>
      </c>
      <c r="AG64" s="65" t="s">
        <v>244</v>
      </c>
      <c r="AH64" s="65" t="s">
        <v>245</v>
      </c>
      <c r="AI64" s="66" t="s">
        <v>246</v>
      </c>
      <c r="AJ64" s="67" t="s">
        <v>247</v>
      </c>
      <c r="AK64" s="68" t="s">
        <v>372</v>
      </c>
      <c r="AL64" s="69" t="s">
        <v>248</v>
      </c>
      <c r="AM64" s="70" t="s">
        <v>249</v>
      </c>
      <c r="AN64" s="65" t="s">
        <v>244</v>
      </c>
      <c r="AO64" s="65" t="s">
        <v>244</v>
      </c>
      <c r="AP64" s="71" t="s">
        <v>250</v>
      </c>
      <c r="AQ64" s="72" t="s">
        <v>251</v>
      </c>
      <c r="AR64" s="72" t="s">
        <v>252</v>
      </c>
      <c r="AS64" s="72" t="s">
        <v>250</v>
      </c>
      <c r="AT64" s="72"/>
      <c r="AU64" s="72"/>
    </row>
    <row r="65" spans="1:47" ht="33.75" x14ac:dyDescent="0.2">
      <c r="A65" s="44">
        <v>182</v>
      </c>
      <c r="B65" s="33" t="s">
        <v>90</v>
      </c>
      <c r="C65" s="33" t="s">
        <v>78</v>
      </c>
      <c r="D65" s="33" t="s">
        <v>375</v>
      </c>
      <c r="E65" s="33"/>
      <c r="F65" s="45" t="s">
        <v>374</v>
      </c>
      <c r="G65" s="45" t="s">
        <v>69</v>
      </c>
      <c r="H65" s="45" t="s">
        <v>28</v>
      </c>
      <c r="I65" s="75">
        <v>0</v>
      </c>
      <c r="J65" s="195">
        <v>5</v>
      </c>
      <c r="K65" s="94">
        <v>12445886</v>
      </c>
      <c r="L65" s="59">
        <v>44968</v>
      </c>
      <c r="M65" s="58">
        <v>45097</v>
      </c>
      <c r="N65" s="80">
        <v>12445886</v>
      </c>
      <c r="O65" s="86"/>
      <c r="P65" s="86"/>
      <c r="Q65" s="78">
        <v>0</v>
      </c>
      <c r="R65" s="80">
        <v>12445886</v>
      </c>
      <c r="S65" s="87" t="s">
        <v>243</v>
      </c>
      <c r="T65" s="82" t="s">
        <v>373</v>
      </c>
      <c r="U65" s="88" t="s">
        <v>361</v>
      </c>
      <c r="V65" s="83" t="s">
        <v>244</v>
      </c>
      <c r="W65" s="84" t="s">
        <v>537</v>
      </c>
      <c r="X65" s="87">
        <v>80111600</v>
      </c>
      <c r="Y65" s="197" t="s">
        <v>516</v>
      </c>
      <c r="Z65" s="61">
        <v>44963</v>
      </c>
      <c r="AA65" s="61">
        <v>44964</v>
      </c>
      <c r="AB65" s="62">
        <v>5</v>
      </c>
      <c r="AC65" s="63" t="s">
        <v>241</v>
      </c>
      <c r="AD65" s="64" t="s">
        <v>242</v>
      </c>
      <c r="AE65" s="50">
        <v>12445886</v>
      </c>
      <c r="AF65" s="50">
        <v>12445886</v>
      </c>
      <c r="AG65" s="65" t="s">
        <v>244</v>
      </c>
      <c r="AH65" s="65" t="s">
        <v>245</v>
      </c>
      <c r="AI65" s="66" t="s">
        <v>246</v>
      </c>
      <c r="AJ65" s="67" t="s">
        <v>247</v>
      </c>
      <c r="AK65" s="68" t="s">
        <v>372</v>
      </c>
      <c r="AL65" s="69" t="s">
        <v>248</v>
      </c>
      <c r="AM65" s="70" t="s">
        <v>249</v>
      </c>
      <c r="AN65" s="65" t="s">
        <v>244</v>
      </c>
      <c r="AO65" s="65" t="s">
        <v>244</v>
      </c>
      <c r="AP65" s="71" t="s">
        <v>250</v>
      </c>
      <c r="AQ65" s="72" t="s">
        <v>251</v>
      </c>
      <c r="AR65" s="72" t="s">
        <v>252</v>
      </c>
      <c r="AS65" s="72" t="s">
        <v>250</v>
      </c>
      <c r="AT65" s="72"/>
      <c r="AU65" s="72"/>
    </row>
    <row r="66" spans="1:47" ht="33.75" x14ac:dyDescent="0.2">
      <c r="A66" s="44">
        <v>183</v>
      </c>
      <c r="B66" s="33" t="s">
        <v>90</v>
      </c>
      <c r="C66" s="33" t="s">
        <v>78</v>
      </c>
      <c r="D66" s="33" t="s">
        <v>375</v>
      </c>
      <c r="E66" s="33"/>
      <c r="F66" s="45" t="s">
        <v>374</v>
      </c>
      <c r="G66" s="45" t="s">
        <v>69</v>
      </c>
      <c r="H66" s="45" t="s">
        <v>28</v>
      </c>
      <c r="I66" s="75">
        <v>862004</v>
      </c>
      <c r="J66" s="195">
        <v>5</v>
      </c>
      <c r="K66" s="94">
        <v>4310020</v>
      </c>
      <c r="L66" s="59">
        <v>44968</v>
      </c>
      <c r="M66" s="58">
        <v>45097</v>
      </c>
      <c r="N66" s="80">
        <v>4310020</v>
      </c>
      <c r="O66" s="86"/>
      <c r="P66" s="86"/>
      <c r="Q66" s="78">
        <v>0</v>
      </c>
      <c r="R66" s="80">
        <v>4310020</v>
      </c>
      <c r="S66" s="87" t="s">
        <v>243</v>
      </c>
      <c r="T66" s="82" t="s">
        <v>373</v>
      </c>
      <c r="U66" s="88" t="s">
        <v>361</v>
      </c>
      <c r="V66" s="83" t="s">
        <v>244</v>
      </c>
      <c r="W66" s="84" t="s">
        <v>538</v>
      </c>
      <c r="X66" s="87">
        <v>80111600</v>
      </c>
      <c r="Y66" s="197" t="s">
        <v>516</v>
      </c>
      <c r="Z66" s="61">
        <v>44963</v>
      </c>
      <c r="AA66" s="61">
        <v>44965</v>
      </c>
      <c r="AB66" s="62">
        <v>5</v>
      </c>
      <c r="AC66" s="63" t="s">
        <v>241</v>
      </c>
      <c r="AD66" s="64" t="s">
        <v>242</v>
      </c>
      <c r="AE66" s="50">
        <v>4310020</v>
      </c>
      <c r="AF66" s="50">
        <v>4310020</v>
      </c>
      <c r="AG66" s="65" t="s">
        <v>244</v>
      </c>
      <c r="AH66" s="65" t="s">
        <v>245</v>
      </c>
      <c r="AI66" s="66" t="s">
        <v>246</v>
      </c>
      <c r="AJ66" s="67" t="s">
        <v>247</v>
      </c>
      <c r="AK66" s="68" t="s">
        <v>372</v>
      </c>
      <c r="AL66" s="69" t="s">
        <v>248</v>
      </c>
      <c r="AM66" s="70" t="s">
        <v>249</v>
      </c>
      <c r="AN66" s="65" t="s">
        <v>244</v>
      </c>
      <c r="AO66" s="65" t="s">
        <v>244</v>
      </c>
      <c r="AP66" s="71" t="s">
        <v>250</v>
      </c>
      <c r="AQ66" s="72" t="s">
        <v>251</v>
      </c>
      <c r="AR66" s="72" t="s">
        <v>252</v>
      </c>
      <c r="AS66" s="72" t="s">
        <v>250</v>
      </c>
      <c r="AT66" s="72"/>
      <c r="AU66" s="72"/>
    </row>
    <row r="67" spans="1:47" ht="33.75" x14ac:dyDescent="0.2">
      <c r="A67" s="44">
        <v>184</v>
      </c>
      <c r="B67" s="33" t="s">
        <v>90</v>
      </c>
      <c r="C67" s="33" t="s">
        <v>78</v>
      </c>
      <c r="D67" s="33" t="s">
        <v>375</v>
      </c>
      <c r="E67" s="33"/>
      <c r="F67" s="45" t="s">
        <v>374</v>
      </c>
      <c r="G67" s="45" t="s">
        <v>69</v>
      </c>
      <c r="H67" s="45" t="s">
        <v>28</v>
      </c>
      <c r="I67" s="75">
        <v>0</v>
      </c>
      <c r="J67" s="195">
        <v>5</v>
      </c>
      <c r="K67" s="94">
        <v>12445886</v>
      </c>
      <c r="L67" s="59">
        <v>44968</v>
      </c>
      <c r="M67" s="58">
        <v>45097</v>
      </c>
      <c r="N67" s="80">
        <v>12445886</v>
      </c>
      <c r="O67" s="86"/>
      <c r="P67" s="86"/>
      <c r="Q67" s="78">
        <v>0</v>
      </c>
      <c r="R67" s="80">
        <v>12445886</v>
      </c>
      <c r="S67" s="87" t="s">
        <v>243</v>
      </c>
      <c r="T67" s="82" t="s">
        <v>373</v>
      </c>
      <c r="U67" s="88" t="s">
        <v>361</v>
      </c>
      <c r="V67" s="83" t="s">
        <v>244</v>
      </c>
      <c r="W67" s="84" t="s">
        <v>539</v>
      </c>
      <c r="X67" s="87">
        <v>80111600</v>
      </c>
      <c r="Y67" s="197" t="s">
        <v>516</v>
      </c>
      <c r="Z67" s="61">
        <v>44963</v>
      </c>
      <c r="AA67" s="61">
        <v>44966</v>
      </c>
      <c r="AB67" s="62">
        <v>5</v>
      </c>
      <c r="AC67" s="63" t="s">
        <v>241</v>
      </c>
      <c r="AD67" s="64" t="s">
        <v>242</v>
      </c>
      <c r="AE67" s="50">
        <v>12445886</v>
      </c>
      <c r="AF67" s="50">
        <v>12445886</v>
      </c>
      <c r="AG67" s="65" t="s">
        <v>244</v>
      </c>
      <c r="AH67" s="65" t="s">
        <v>245</v>
      </c>
      <c r="AI67" s="66" t="s">
        <v>246</v>
      </c>
      <c r="AJ67" s="67" t="s">
        <v>247</v>
      </c>
      <c r="AK67" s="68" t="s">
        <v>372</v>
      </c>
      <c r="AL67" s="69" t="s">
        <v>248</v>
      </c>
      <c r="AM67" s="70" t="s">
        <v>249</v>
      </c>
      <c r="AN67" s="65" t="s">
        <v>244</v>
      </c>
      <c r="AO67" s="65" t="s">
        <v>244</v>
      </c>
      <c r="AP67" s="71" t="s">
        <v>250</v>
      </c>
      <c r="AQ67" s="72" t="s">
        <v>251</v>
      </c>
      <c r="AR67" s="72" t="s">
        <v>252</v>
      </c>
      <c r="AS67" s="72" t="s">
        <v>250</v>
      </c>
      <c r="AT67" s="72"/>
      <c r="AU67" s="72"/>
    </row>
    <row r="68" spans="1:47" ht="33.75" x14ac:dyDescent="0.2">
      <c r="A68" s="44">
        <v>185</v>
      </c>
      <c r="B68" s="33" t="s">
        <v>90</v>
      </c>
      <c r="C68" s="33" t="s">
        <v>78</v>
      </c>
      <c r="D68" s="33" t="s">
        <v>375</v>
      </c>
      <c r="E68" s="33"/>
      <c r="F68" s="45" t="s">
        <v>374</v>
      </c>
      <c r="G68" s="45" t="s">
        <v>67</v>
      </c>
      <c r="H68" s="45" t="s">
        <v>28</v>
      </c>
      <c r="I68" s="75">
        <v>0</v>
      </c>
      <c r="J68" s="195">
        <v>5</v>
      </c>
      <c r="K68" s="94">
        <v>24559922</v>
      </c>
      <c r="L68" s="59">
        <v>44968</v>
      </c>
      <c r="M68" s="58">
        <v>45097</v>
      </c>
      <c r="N68" s="80">
        <v>24559922</v>
      </c>
      <c r="O68" s="86"/>
      <c r="P68" s="86"/>
      <c r="Q68" s="78">
        <v>0</v>
      </c>
      <c r="R68" s="80">
        <v>24559922</v>
      </c>
      <c r="S68" s="87" t="s">
        <v>243</v>
      </c>
      <c r="T68" s="82" t="s">
        <v>373</v>
      </c>
      <c r="U68" s="88" t="s">
        <v>361</v>
      </c>
      <c r="V68" s="83" t="s">
        <v>244</v>
      </c>
      <c r="W68" s="84" t="s">
        <v>540</v>
      </c>
      <c r="X68" s="87">
        <v>80111600</v>
      </c>
      <c r="Y68" s="197" t="s">
        <v>516</v>
      </c>
      <c r="Z68" s="61">
        <v>44963</v>
      </c>
      <c r="AA68" s="61">
        <v>44967</v>
      </c>
      <c r="AB68" s="62">
        <v>5</v>
      </c>
      <c r="AC68" s="63" t="s">
        <v>241</v>
      </c>
      <c r="AD68" s="64" t="s">
        <v>242</v>
      </c>
      <c r="AE68" s="50">
        <v>24559922</v>
      </c>
      <c r="AF68" s="50">
        <v>24559922</v>
      </c>
      <c r="AG68" s="65" t="s">
        <v>244</v>
      </c>
      <c r="AH68" s="65" t="s">
        <v>245</v>
      </c>
      <c r="AI68" s="66" t="s">
        <v>246</v>
      </c>
      <c r="AJ68" s="67" t="s">
        <v>247</v>
      </c>
      <c r="AK68" s="68" t="s">
        <v>372</v>
      </c>
      <c r="AL68" s="69" t="s">
        <v>248</v>
      </c>
      <c r="AM68" s="70" t="s">
        <v>249</v>
      </c>
      <c r="AN68" s="65" t="s">
        <v>244</v>
      </c>
      <c r="AO68" s="65" t="s">
        <v>244</v>
      </c>
      <c r="AP68" s="71" t="s">
        <v>250</v>
      </c>
      <c r="AQ68" s="72" t="s">
        <v>251</v>
      </c>
      <c r="AR68" s="72" t="s">
        <v>252</v>
      </c>
      <c r="AS68" s="72" t="s">
        <v>250</v>
      </c>
      <c r="AT68" s="72"/>
      <c r="AU68" s="72"/>
    </row>
    <row r="69" spans="1:47" ht="33.75" x14ac:dyDescent="0.2">
      <c r="A69" s="44">
        <v>186</v>
      </c>
      <c r="B69" s="33" t="s">
        <v>90</v>
      </c>
      <c r="C69" s="33" t="s">
        <v>78</v>
      </c>
      <c r="D69" s="33" t="s">
        <v>375</v>
      </c>
      <c r="E69" s="33"/>
      <c r="F69" s="45" t="s">
        <v>374</v>
      </c>
      <c r="G69" s="45" t="s">
        <v>69</v>
      </c>
      <c r="H69" s="45" t="s">
        <v>28</v>
      </c>
      <c r="I69" s="75">
        <v>862004</v>
      </c>
      <c r="J69" s="195">
        <v>5</v>
      </c>
      <c r="K69" s="94">
        <v>4310020</v>
      </c>
      <c r="L69" s="59">
        <v>44968</v>
      </c>
      <c r="M69" s="58">
        <v>45097</v>
      </c>
      <c r="N69" s="80">
        <v>4310020</v>
      </c>
      <c r="O69" s="86"/>
      <c r="P69" s="86"/>
      <c r="Q69" s="78">
        <v>0</v>
      </c>
      <c r="R69" s="80">
        <v>4310020</v>
      </c>
      <c r="S69" s="87" t="s">
        <v>243</v>
      </c>
      <c r="T69" s="82" t="s">
        <v>373</v>
      </c>
      <c r="U69" s="88" t="s">
        <v>361</v>
      </c>
      <c r="V69" s="83" t="s">
        <v>244</v>
      </c>
      <c r="W69" s="84" t="s">
        <v>541</v>
      </c>
      <c r="X69" s="87">
        <v>80111600</v>
      </c>
      <c r="Y69" s="197" t="s">
        <v>516</v>
      </c>
      <c r="Z69" s="61">
        <v>44963</v>
      </c>
      <c r="AA69" s="61">
        <v>44968</v>
      </c>
      <c r="AB69" s="62">
        <v>5</v>
      </c>
      <c r="AC69" s="63" t="s">
        <v>241</v>
      </c>
      <c r="AD69" s="64" t="s">
        <v>242</v>
      </c>
      <c r="AE69" s="50">
        <v>4310020</v>
      </c>
      <c r="AF69" s="50">
        <v>4310020</v>
      </c>
      <c r="AG69" s="65" t="s">
        <v>244</v>
      </c>
      <c r="AH69" s="65" t="s">
        <v>245</v>
      </c>
      <c r="AI69" s="66" t="s">
        <v>246</v>
      </c>
      <c r="AJ69" s="67" t="s">
        <v>247</v>
      </c>
      <c r="AK69" s="68" t="s">
        <v>372</v>
      </c>
      <c r="AL69" s="69" t="s">
        <v>248</v>
      </c>
      <c r="AM69" s="70" t="s">
        <v>249</v>
      </c>
      <c r="AN69" s="65" t="s">
        <v>244</v>
      </c>
      <c r="AO69" s="65" t="s">
        <v>244</v>
      </c>
      <c r="AP69" s="71" t="s">
        <v>250</v>
      </c>
      <c r="AQ69" s="72" t="s">
        <v>251</v>
      </c>
      <c r="AR69" s="72" t="s">
        <v>252</v>
      </c>
      <c r="AS69" s="72" t="s">
        <v>250</v>
      </c>
      <c r="AT69" s="72"/>
      <c r="AU69" s="72"/>
    </row>
    <row r="70" spans="1:47" ht="33.75" x14ac:dyDescent="0.2">
      <c r="A70" s="44">
        <v>187</v>
      </c>
      <c r="B70" s="33" t="s">
        <v>90</v>
      </c>
      <c r="C70" s="33" t="s">
        <v>78</v>
      </c>
      <c r="D70" s="33" t="s">
        <v>375</v>
      </c>
      <c r="E70" s="33"/>
      <c r="F70" s="45" t="s">
        <v>374</v>
      </c>
      <c r="G70" s="45" t="s">
        <v>69</v>
      </c>
      <c r="H70" s="45" t="s">
        <v>28</v>
      </c>
      <c r="I70" s="75">
        <v>1393409</v>
      </c>
      <c r="J70" s="195">
        <v>5</v>
      </c>
      <c r="K70" s="94">
        <v>6967045</v>
      </c>
      <c r="L70" s="59">
        <v>44970</v>
      </c>
      <c r="M70" s="58">
        <v>45097</v>
      </c>
      <c r="N70" s="80">
        <v>6967045</v>
      </c>
      <c r="O70" s="86"/>
      <c r="P70" s="86"/>
      <c r="Q70" s="78">
        <v>0</v>
      </c>
      <c r="R70" s="80">
        <v>6967045</v>
      </c>
      <c r="S70" s="87" t="s">
        <v>243</v>
      </c>
      <c r="T70" s="82" t="s">
        <v>373</v>
      </c>
      <c r="U70" s="88" t="s">
        <v>361</v>
      </c>
      <c r="V70" s="83" t="s">
        <v>244</v>
      </c>
      <c r="W70" s="84" t="s">
        <v>542</v>
      </c>
      <c r="X70" s="87">
        <v>80111600</v>
      </c>
      <c r="Y70" s="197" t="s">
        <v>516</v>
      </c>
      <c r="Z70" s="61">
        <v>44963</v>
      </c>
      <c r="AA70" s="61">
        <v>44969</v>
      </c>
      <c r="AB70" s="62">
        <v>5</v>
      </c>
      <c r="AC70" s="63" t="s">
        <v>241</v>
      </c>
      <c r="AD70" s="64" t="s">
        <v>242</v>
      </c>
      <c r="AE70" s="50">
        <v>6967045</v>
      </c>
      <c r="AF70" s="50">
        <v>6967045</v>
      </c>
      <c r="AG70" s="65" t="s">
        <v>244</v>
      </c>
      <c r="AH70" s="65" t="s">
        <v>245</v>
      </c>
      <c r="AI70" s="66" t="s">
        <v>246</v>
      </c>
      <c r="AJ70" s="67" t="s">
        <v>247</v>
      </c>
      <c r="AK70" s="68" t="s">
        <v>372</v>
      </c>
      <c r="AL70" s="69" t="s">
        <v>248</v>
      </c>
      <c r="AM70" s="70" t="s">
        <v>249</v>
      </c>
      <c r="AN70" s="65" t="s">
        <v>244</v>
      </c>
      <c r="AO70" s="65" t="s">
        <v>244</v>
      </c>
      <c r="AP70" s="71" t="s">
        <v>250</v>
      </c>
      <c r="AQ70" s="72" t="s">
        <v>251</v>
      </c>
      <c r="AR70" s="72" t="s">
        <v>252</v>
      </c>
      <c r="AS70" s="72" t="s">
        <v>250</v>
      </c>
      <c r="AT70" s="72"/>
      <c r="AU70" s="72"/>
    </row>
    <row r="71" spans="1:47" ht="33.75" x14ac:dyDescent="0.2">
      <c r="A71" s="44">
        <v>188</v>
      </c>
      <c r="B71" s="33" t="s">
        <v>90</v>
      </c>
      <c r="C71" s="33" t="s">
        <v>78</v>
      </c>
      <c r="D71" s="33" t="s">
        <v>375</v>
      </c>
      <c r="E71" s="33"/>
      <c r="F71" s="45" t="s">
        <v>374</v>
      </c>
      <c r="G71" s="45" t="s">
        <v>69</v>
      </c>
      <c r="H71" s="45" t="s">
        <v>28</v>
      </c>
      <c r="I71" s="75">
        <v>862004</v>
      </c>
      <c r="J71" s="195">
        <v>5</v>
      </c>
      <c r="K71" s="94">
        <v>4310020</v>
      </c>
      <c r="L71" s="59">
        <v>44968</v>
      </c>
      <c r="M71" s="58">
        <v>45097</v>
      </c>
      <c r="N71" s="80">
        <v>4310020</v>
      </c>
      <c r="O71" s="86"/>
      <c r="P71" s="86"/>
      <c r="Q71" s="78">
        <v>0</v>
      </c>
      <c r="R71" s="80">
        <v>4310020</v>
      </c>
      <c r="S71" s="87" t="s">
        <v>243</v>
      </c>
      <c r="T71" s="82" t="s">
        <v>373</v>
      </c>
      <c r="U71" s="88" t="s">
        <v>361</v>
      </c>
      <c r="V71" s="83" t="s">
        <v>244</v>
      </c>
      <c r="W71" s="84" t="s">
        <v>543</v>
      </c>
      <c r="X71" s="87">
        <v>80111600</v>
      </c>
      <c r="Y71" s="197" t="s">
        <v>516</v>
      </c>
      <c r="Z71" s="61">
        <v>44963</v>
      </c>
      <c r="AA71" s="61">
        <v>44970</v>
      </c>
      <c r="AB71" s="62">
        <v>5</v>
      </c>
      <c r="AC71" s="63" t="s">
        <v>241</v>
      </c>
      <c r="AD71" s="64" t="s">
        <v>242</v>
      </c>
      <c r="AE71" s="50">
        <v>4310020</v>
      </c>
      <c r="AF71" s="50">
        <v>4310020</v>
      </c>
      <c r="AG71" s="65" t="s">
        <v>244</v>
      </c>
      <c r="AH71" s="65" t="s">
        <v>245</v>
      </c>
      <c r="AI71" s="66" t="s">
        <v>246</v>
      </c>
      <c r="AJ71" s="67" t="s">
        <v>247</v>
      </c>
      <c r="AK71" s="68" t="s">
        <v>372</v>
      </c>
      <c r="AL71" s="69" t="s">
        <v>248</v>
      </c>
      <c r="AM71" s="70" t="s">
        <v>249</v>
      </c>
      <c r="AN71" s="65" t="s">
        <v>244</v>
      </c>
      <c r="AO71" s="65" t="s">
        <v>244</v>
      </c>
      <c r="AP71" s="71" t="s">
        <v>250</v>
      </c>
      <c r="AQ71" s="72" t="s">
        <v>251</v>
      </c>
      <c r="AR71" s="72" t="s">
        <v>252</v>
      </c>
      <c r="AS71" s="72" t="s">
        <v>250</v>
      </c>
      <c r="AT71" s="72"/>
      <c r="AU71" s="72"/>
    </row>
    <row r="72" spans="1:47" ht="33.75" x14ac:dyDescent="0.2">
      <c r="A72" s="44">
        <v>189</v>
      </c>
      <c r="B72" s="33" t="s">
        <v>90</v>
      </c>
      <c r="C72" s="33" t="s">
        <v>78</v>
      </c>
      <c r="D72" s="33" t="s">
        <v>375</v>
      </c>
      <c r="E72" s="33"/>
      <c r="F72" s="45" t="s">
        <v>374</v>
      </c>
      <c r="G72" s="45" t="s">
        <v>69</v>
      </c>
      <c r="H72" s="45" t="s">
        <v>28</v>
      </c>
      <c r="I72" s="75">
        <v>862004</v>
      </c>
      <c r="J72" s="195">
        <v>5</v>
      </c>
      <c r="K72" s="94">
        <v>4310020</v>
      </c>
      <c r="L72" s="59">
        <v>44968</v>
      </c>
      <c r="M72" s="58">
        <v>45097</v>
      </c>
      <c r="N72" s="80">
        <v>4310020</v>
      </c>
      <c r="O72" s="86"/>
      <c r="P72" s="86"/>
      <c r="Q72" s="78">
        <v>0</v>
      </c>
      <c r="R72" s="80">
        <v>4310020</v>
      </c>
      <c r="S72" s="87" t="s">
        <v>243</v>
      </c>
      <c r="T72" s="82" t="s">
        <v>373</v>
      </c>
      <c r="U72" s="88" t="s">
        <v>361</v>
      </c>
      <c r="V72" s="83" t="s">
        <v>244</v>
      </c>
      <c r="W72" s="84" t="s">
        <v>544</v>
      </c>
      <c r="X72" s="87">
        <v>80111600</v>
      </c>
      <c r="Y72" s="197" t="s">
        <v>516</v>
      </c>
      <c r="Z72" s="61">
        <v>44963</v>
      </c>
      <c r="AA72" s="61">
        <v>44971</v>
      </c>
      <c r="AB72" s="62">
        <v>5</v>
      </c>
      <c r="AC72" s="63" t="s">
        <v>241</v>
      </c>
      <c r="AD72" s="64" t="s">
        <v>242</v>
      </c>
      <c r="AE72" s="50">
        <v>4310020</v>
      </c>
      <c r="AF72" s="50">
        <v>4310020</v>
      </c>
      <c r="AG72" s="65" t="s">
        <v>244</v>
      </c>
      <c r="AH72" s="65" t="s">
        <v>245</v>
      </c>
      <c r="AI72" s="66" t="s">
        <v>246</v>
      </c>
      <c r="AJ72" s="67" t="s">
        <v>247</v>
      </c>
      <c r="AK72" s="68" t="s">
        <v>372</v>
      </c>
      <c r="AL72" s="69" t="s">
        <v>248</v>
      </c>
      <c r="AM72" s="70" t="s">
        <v>249</v>
      </c>
      <c r="AN72" s="65" t="s">
        <v>244</v>
      </c>
      <c r="AO72" s="65" t="s">
        <v>244</v>
      </c>
      <c r="AP72" s="71" t="s">
        <v>250</v>
      </c>
      <c r="AQ72" s="72" t="s">
        <v>251</v>
      </c>
      <c r="AR72" s="72" t="s">
        <v>252</v>
      </c>
      <c r="AS72" s="72" t="s">
        <v>250</v>
      </c>
      <c r="AT72" s="72"/>
      <c r="AU72" s="72"/>
    </row>
    <row r="73" spans="1:47" ht="33.75" x14ac:dyDescent="0.2">
      <c r="A73" s="44">
        <v>190</v>
      </c>
      <c r="B73" s="33" t="s">
        <v>90</v>
      </c>
      <c r="C73" s="33" t="s">
        <v>78</v>
      </c>
      <c r="D73" s="33" t="s">
        <v>375</v>
      </c>
      <c r="E73" s="33"/>
      <c r="F73" s="45" t="s">
        <v>374</v>
      </c>
      <c r="G73" s="45" t="s">
        <v>69</v>
      </c>
      <c r="H73" s="45" t="s">
        <v>28</v>
      </c>
      <c r="I73" s="75">
        <v>862004</v>
      </c>
      <c r="J73" s="195">
        <v>5</v>
      </c>
      <c r="K73" s="94">
        <v>4310020</v>
      </c>
      <c r="L73" s="59">
        <v>44968</v>
      </c>
      <c r="M73" s="58">
        <v>45097</v>
      </c>
      <c r="N73" s="80">
        <v>4310020</v>
      </c>
      <c r="O73" s="86"/>
      <c r="P73" s="86"/>
      <c r="Q73" s="78">
        <v>0</v>
      </c>
      <c r="R73" s="80">
        <v>4310020</v>
      </c>
      <c r="S73" s="87" t="s">
        <v>243</v>
      </c>
      <c r="T73" s="82" t="s">
        <v>373</v>
      </c>
      <c r="U73" s="88" t="s">
        <v>361</v>
      </c>
      <c r="V73" s="83" t="s">
        <v>244</v>
      </c>
      <c r="W73" s="84" t="s">
        <v>545</v>
      </c>
      <c r="X73" s="87">
        <v>80111600</v>
      </c>
      <c r="Y73" s="197" t="s">
        <v>516</v>
      </c>
      <c r="Z73" s="61">
        <v>44963</v>
      </c>
      <c r="AA73" s="61">
        <v>44972</v>
      </c>
      <c r="AB73" s="62">
        <v>5</v>
      </c>
      <c r="AC73" s="63" t="s">
        <v>241</v>
      </c>
      <c r="AD73" s="64" t="s">
        <v>242</v>
      </c>
      <c r="AE73" s="50">
        <v>4310020</v>
      </c>
      <c r="AF73" s="50">
        <v>4310020</v>
      </c>
      <c r="AG73" s="65" t="s">
        <v>244</v>
      </c>
      <c r="AH73" s="65" t="s">
        <v>245</v>
      </c>
      <c r="AI73" s="66" t="s">
        <v>246</v>
      </c>
      <c r="AJ73" s="67" t="s">
        <v>247</v>
      </c>
      <c r="AK73" s="68" t="s">
        <v>372</v>
      </c>
      <c r="AL73" s="69" t="s">
        <v>248</v>
      </c>
      <c r="AM73" s="70" t="s">
        <v>249</v>
      </c>
      <c r="AN73" s="65" t="s">
        <v>244</v>
      </c>
      <c r="AO73" s="65" t="s">
        <v>244</v>
      </c>
      <c r="AP73" s="71" t="s">
        <v>250</v>
      </c>
      <c r="AQ73" s="72" t="s">
        <v>251</v>
      </c>
      <c r="AR73" s="72" t="s">
        <v>252</v>
      </c>
      <c r="AS73" s="72" t="s">
        <v>250</v>
      </c>
      <c r="AT73" s="72"/>
      <c r="AU73" s="72"/>
    </row>
    <row r="74" spans="1:47" ht="33.75" x14ac:dyDescent="0.2">
      <c r="A74" s="44">
        <v>191</v>
      </c>
      <c r="B74" s="33" t="s">
        <v>90</v>
      </c>
      <c r="C74" s="33" t="s">
        <v>78</v>
      </c>
      <c r="D74" s="33" t="s">
        <v>375</v>
      </c>
      <c r="E74" s="33"/>
      <c r="F74" s="45" t="s">
        <v>374</v>
      </c>
      <c r="G74" s="45" t="s">
        <v>69</v>
      </c>
      <c r="H74" s="45" t="s">
        <v>28</v>
      </c>
      <c r="I74" s="75">
        <v>862004</v>
      </c>
      <c r="J74" s="195">
        <v>5</v>
      </c>
      <c r="K74" s="94">
        <v>4310020</v>
      </c>
      <c r="L74" s="59">
        <v>44968</v>
      </c>
      <c r="M74" s="58">
        <v>45097</v>
      </c>
      <c r="N74" s="80">
        <v>4310020</v>
      </c>
      <c r="O74" s="86"/>
      <c r="P74" s="86"/>
      <c r="Q74" s="78">
        <v>0</v>
      </c>
      <c r="R74" s="80">
        <v>4310020</v>
      </c>
      <c r="S74" s="87" t="s">
        <v>243</v>
      </c>
      <c r="T74" s="82" t="s">
        <v>373</v>
      </c>
      <c r="U74" s="88" t="s">
        <v>361</v>
      </c>
      <c r="V74" s="83" t="s">
        <v>244</v>
      </c>
      <c r="W74" s="84" t="s">
        <v>546</v>
      </c>
      <c r="X74" s="87">
        <v>80111600</v>
      </c>
      <c r="Y74" s="197" t="s">
        <v>516</v>
      </c>
      <c r="Z74" s="61">
        <v>44963</v>
      </c>
      <c r="AA74" s="61">
        <v>44973</v>
      </c>
      <c r="AB74" s="62">
        <v>5</v>
      </c>
      <c r="AC74" s="63" t="s">
        <v>241</v>
      </c>
      <c r="AD74" s="64" t="s">
        <v>242</v>
      </c>
      <c r="AE74" s="50">
        <v>4310020</v>
      </c>
      <c r="AF74" s="50">
        <v>4310020</v>
      </c>
      <c r="AG74" s="65" t="s">
        <v>244</v>
      </c>
      <c r="AH74" s="65" t="s">
        <v>245</v>
      </c>
      <c r="AI74" s="66" t="s">
        <v>246</v>
      </c>
      <c r="AJ74" s="67" t="s">
        <v>247</v>
      </c>
      <c r="AK74" s="68" t="s">
        <v>372</v>
      </c>
      <c r="AL74" s="69" t="s">
        <v>248</v>
      </c>
      <c r="AM74" s="70" t="s">
        <v>249</v>
      </c>
      <c r="AN74" s="65" t="s">
        <v>244</v>
      </c>
      <c r="AO74" s="65" t="s">
        <v>244</v>
      </c>
      <c r="AP74" s="71" t="s">
        <v>250</v>
      </c>
      <c r="AQ74" s="72" t="s">
        <v>251</v>
      </c>
      <c r="AR74" s="72" t="s">
        <v>252</v>
      </c>
      <c r="AS74" s="72" t="s">
        <v>250</v>
      </c>
      <c r="AT74" s="72"/>
      <c r="AU74" s="72"/>
    </row>
    <row r="75" spans="1:47" ht="33.75" x14ac:dyDescent="0.2">
      <c r="A75" s="44">
        <v>192</v>
      </c>
      <c r="B75" s="33" t="s">
        <v>90</v>
      </c>
      <c r="C75" s="33" t="s">
        <v>78</v>
      </c>
      <c r="D75" s="33" t="s">
        <v>375</v>
      </c>
      <c r="E75" s="33"/>
      <c r="F75" s="45" t="s">
        <v>374</v>
      </c>
      <c r="G75" s="45" t="s">
        <v>69</v>
      </c>
      <c r="H75" s="45" t="s">
        <v>28</v>
      </c>
      <c r="I75" s="75">
        <v>862004</v>
      </c>
      <c r="J75" s="195">
        <v>5</v>
      </c>
      <c r="K75" s="94">
        <v>4310020</v>
      </c>
      <c r="L75" s="59">
        <v>44968</v>
      </c>
      <c r="M75" s="58">
        <v>45097</v>
      </c>
      <c r="N75" s="80">
        <v>4310020</v>
      </c>
      <c r="O75" s="86"/>
      <c r="P75" s="86"/>
      <c r="Q75" s="78">
        <v>0</v>
      </c>
      <c r="R75" s="80">
        <v>4310020</v>
      </c>
      <c r="S75" s="87" t="s">
        <v>243</v>
      </c>
      <c r="T75" s="82" t="s">
        <v>373</v>
      </c>
      <c r="U75" s="88" t="s">
        <v>361</v>
      </c>
      <c r="V75" s="83" t="s">
        <v>244</v>
      </c>
      <c r="W75" s="84" t="s">
        <v>547</v>
      </c>
      <c r="X75" s="87">
        <v>80111600</v>
      </c>
      <c r="Y75" s="197" t="s">
        <v>516</v>
      </c>
      <c r="Z75" s="61">
        <v>44963</v>
      </c>
      <c r="AA75" s="61">
        <v>44974</v>
      </c>
      <c r="AB75" s="62">
        <v>5</v>
      </c>
      <c r="AC75" s="63" t="s">
        <v>241</v>
      </c>
      <c r="AD75" s="64" t="s">
        <v>242</v>
      </c>
      <c r="AE75" s="50">
        <v>4310020</v>
      </c>
      <c r="AF75" s="50">
        <v>4310020</v>
      </c>
      <c r="AG75" s="65" t="s">
        <v>244</v>
      </c>
      <c r="AH75" s="65" t="s">
        <v>245</v>
      </c>
      <c r="AI75" s="66" t="s">
        <v>246</v>
      </c>
      <c r="AJ75" s="67" t="s">
        <v>247</v>
      </c>
      <c r="AK75" s="68" t="s">
        <v>372</v>
      </c>
      <c r="AL75" s="69" t="s">
        <v>248</v>
      </c>
      <c r="AM75" s="70" t="s">
        <v>249</v>
      </c>
      <c r="AN75" s="65" t="s">
        <v>244</v>
      </c>
      <c r="AO75" s="65" t="s">
        <v>244</v>
      </c>
      <c r="AP75" s="71" t="s">
        <v>250</v>
      </c>
      <c r="AQ75" s="72" t="s">
        <v>251</v>
      </c>
      <c r="AR75" s="72" t="s">
        <v>252</v>
      </c>
      <c r="AS75" s="72" t="s">
        <v>250</v>
      </c>
      <c r="AT75" s="72"/>
      <c r="AU75" s="72"/>
    </row>
    <row r="76" spans="1:47" ht="33.75" x14ac:dyDescent="0.2">
      <c r="A76" s="44">
        <v>193</v>
      </c>
      <c r="B76" s="33" t="s">
        <v>90</v>
      </c>
      <c r="C76" s="33" t="s">
        <v>78</v>
      </c>
      <c r="D76" s="33" t="s">
        <v>375</v>
      </c>
      <c r="E76" s="33"/>
      <c r="F76" s="45" t="s">
        <v>374</v>
      </c>
      <c r="G76" s="45" t="s">
        <v>67</v>
      </c>
      <c r="H76" s="45" t="s">
        <v>28</v>
      </c>
      <c r="I76" s="75">
        <v>1013090</v>
      </c>
      <c r="J76" s="195">
        <v>5</v>
      </c>
      <c r="K76" s="94">
        <v>5065450</v>
      </c>
      <c r="L76" s="59">
        <v>44968</v>
      </c>
      <c r="M76" s="58">
        <v>45097</v>
      </c>
      <c r="N76" s="80">
        <v>5065450</v>
      </c>
      <c r="O76" s="86"/>
      <c r="P76" s="86"/>
      <c r="Q76" s="78">
        <v>0</v>
      </c>
      <c r="R76" s="80">
        <v>5065450</v>
      </c>
      <c r="S76" s="87" t="s">
        <v>243</v>
      </c>
      <c r="T76" s="82" t="s">
        <v>373</v>
      </c>
      <c r="U76" s="88" t="s">
        <v>361</v>
      </c>
      <c r="V76" s="83" t="s">
        <v>244</v>
      </c>
      <c r="W76" s="84" t="s">
        <v>548</v>
      </c>
      <c r="X76" s="87">
        <v>80111600</v>
      </c>
      <c r="Y76" s="197" t="s">
        <v>516</v>
      </c>
      <c r="Z76" s="61">
        <v>44963</v>
      </c>
      <c r="AA76" s="61">
        <v>44975</v>
      </c>
      <c r="AB76" s="62">
        <v>5</v>
      </c>
      <c r="AC76" s="63" t="s">
        <v>241</v>
      </c>
      <c r="AD76" s="64" t="s">
        <v>242</v>
      </c>
      <c r="AE76" s="50">
        <v>5065450</v>
      </c>
      <c r="AF76" s="50">
        <v>5065450</v>
      </c>
      <c r="AG76" s="65" t="s">
        <v>244</v>
      </c>
      <c r="AH76" s="65" t="s">
        <v>245</v>
      </c>
      <c r="AI76" s="66" t="s">
        <v>246</v>
      </c>
      <c r="AJ76" s="67" t="s">
        <v>247</v>
      </c>
      <c r="AK76" s="68" t="s">
        <v>372</v>
      </c>
      <c r="AL76" s="69" t="s">
        <v>248</v>
      </c>
      <c r="AM76" s="70" t="s">
        <v>249</v>
      </c>
      <c r="AN76" s="65" t="s">
        <v>244</v>
      </c>
      <c r="AO76" s="65" t="s">
        <v>244</v>
      </c>
      <c r="AP76" s="71" t="s">
        <v>250</v>
      </c>
      <c r="AQ76" s="72" t="s">
        <v>251</v>
      </c>
      <c r="AR76" s="72" t="s">
        <v>252</v>
      </c>
      <c r="AS76" s="72" t="s">
        <v>250</v>
      </c>
      <c r="AT76" s="72"/>
      <c r="AU76" s="72"/>
    </row>
    <row r="77" spans="1:47" ht="33.75" x14ac:dyDescent="0.2">
      <c r="A77" s="44">
        <v>194</v>
      </c>
      <c r="B77" s="33" t="s">
        <v>90</v>
      </c>
      <c r="C77" s="33" t="s">
        <v>78</v>
      </c>
      <c r="D77" s="33" t="s">
        <v>375</v>
      </c>
      <c r="E77" s="33"/>
      <c r="F77" s="45" t="s">
        <v>374</v>
      </c>
      <c r="G77" s="45" t="s">
        <v>69</v>
      </c>
      <c r="H77" s="45" t="s">
        <v>28</v>
      </c>
      <c r="I77" s="75">
        <v>862004</v>
      </c>
      <c r="J77" s="195">
        <v>5</v>
      </c>
      <c r="K77" s="94">
        <v>4310020</v>
      </c>
      <c r="L77" s="59">
        <v>44968</v>
      </c>
      <c r="M77" s="58">
        <v>45097</v>
      </c>
      <c r="N77" s="80">
        <v>4310020</v>
      </c>
      <c r="O77" s="86"/>
      <c r="P77" s="86"/>
      <c r="Q77" s="78">
        <v>0</v>
      </c>
      <c r="R77" s="80">
        <v>4310020</v>
      </c>
      <c r="S77" s="87" t="s">
        <v>243</v>
      </c>
      <c r="T77" s="82" t="s">
        <v>373</v>
      </c>
      <c r="U77" s="88" t="s">
        <v>361</v>
      </c>
      <c r="V77" s="83" t="s">
        <v>244</v>
      </c>
      <c r="W77" s="84" t="s">
        <v>549</v>
      </c>
      <c r="X77" s="87">
        <v>80111600</v>
      </c>
      <c r="Y77" s="197" t="s">
        <v>516</v>
      </c>
      <c r="Z77" s="61">
        <v>44963</v>
      </c>
      <c r="AA77" s="61">
        <v>44976</v>
      </c>
      <c r="AB77" s="62">
        <v>5</v>
      </c>
      <c r="AC77" s="63" t="s">
        <v>241</v>
      </c>
      <c r="AD77" s="64" t="s">
        <v>242</v>
      </c>
      <c r="AE77" s="50">
        <v>4310020</v>
      </c>
      <c r="AF77" s="50">
        <v>4310020</v>
      </c>
      <c r="AG77" s="65" t="s">
        <v>244</v>
      </c>
      <c r="AH77" s="65" t="s">
        <v>245</v>
      </c>
      <c r="AI77" s="66" t="s">
        <v>246</v>
      </c>
      <c r="AJ77" s="67" t="s">
        <v>247</v>
      </c>
      <c r="AK77" s="68" t="s">
        <v>372</v>
      </c>
      <c r="AL77" s="69" t="s">
        <v>248</v>
      </c>
      <c r="AM77" s="70" t="s">
        <v>249</v>
      </c>
      <c r="AN77" s="65" t="s">
        <v>244</v>
      </c>
      <c r="AO77" s="65" t="s">
        <v>244</v>
      </c>
      <c r="AP77" s="71" t="s">
        <v>250</v>
      </c>
      <c r="AQ77" s="72" t="s">
        <v>251</v>
      </c>
      <c r="AR77" s="72" t="s">
        <v>252</v>
      </c>
      <c r="AS77" s="72" t="s">
        <v>250</v>
      </c>
      <c r="AT77" s="72"/>
      <c r="AU77" s="72"/>
    </row>
    <row r="78" spans="1:47" ht="33.75" x14ac:dyDescent="0.2">
      <c r="A78" s="44">
        <v>195</v>
      </c>
      <c r="B78" s="33" t="s">
        <v>90</v>
      </c>
      <c r="C78" s="33" t="s">
        <v>78</v>
      </c>
      <c r="D78" s="33" t="s">
        <v>375</v>
      </c>
      <c r="E78" s="33"/>
      <c r="F78" s="45" t="s">
        <v>374</v>
      </c>
      <c r="G78" s="45" t="s">
        <v>69</v>
      </c>
      <c r="H78" s="45" t="s">
        <v>28</v>
      </c>
      <c r="I78" s="75">
        <v>862004</v>
      </c>
      <c r="J78" s="195">
        <v>5</v>
      </c>
      <c r="K78" s="94">
        <v>4310020</v>
      </c>
      <c r="L78" s="59">
        <v>44968</v>
      </c>
      <c r="M78" s="58">
        <v>45097</v>
      </c>
      <c r="N78" s="80">
        <v>4310020</v>
      </c>
      <c r="O78" s="86"/>
      <c r="P78" s="86"/>
      <c r="Q78" s="78">
        <v>0</v>
      </c>
      <c r="R78" s="80">
        <v>4310020</v>
      </c>
      <c r="S78" s="87" t="s">
        <v>243</v>
      </c>
      <c r="T78" s="82" t="s">
        <v>373</v>
      </c>
      <c r="U78" s="88" t="s">
        <v>361</v>
      </c>
      <c r="V78" s="83" t="s">
        <v>244</v>
      </c>
      <c r="W78" s="84" t="s">
        <v>550</v>
      </c>
      <c r="X78" s="87">
        <v>80111600</v>
      </c>
      <c r="Y78" s="197" t="s">
        <v>516</v>
      </c>
      <c r="Z78" s="61">
        <v>44963</v>
      </c>
      <c r="AA78" s="61">
        <v>44977</v>
      </c>
      <c r="AB78" s="62">
        <v>5</v>
      </c>
      <c r="AC78" s="63" t="s">
        <v>241</v>
      </c>
      <c r="AD78" s="64" t="s">
        <v>242</v>
      </c>
      <c r="AE78" s="50">
        <v>4310020</v>
      </c>
      <c r="AF78" s="50">
        <v>4310020</v>
      </c>
      <c r="AG78" s="65" t="s">
        <v>244</v>
      </c>
      <c r="AH78" s="65" t="s">
        <v>245</v>
      </c>
      <c r="AI78" s="66" t="s">
        <v>246</v>
      </c>
      <c r="AJ78" s="67" t="s">
        <v>247</v>
      </c>
      <c r="AK78" s="68" t="s">
        <v>372</v>
      </c>
      <c r="AL78" s="69" t="s">
        <v>248</v>
      </c>
      <c r="AM78" s="70" t="s">
        <v>249</v>
      </c>
      <c r="AN78" s="65" t="s">
        <v>244</v>
      </c>
      <c r="AO78" s="65" t="s">
        <v>244</v>
      </c>
      <c r="AP78" s="71" t="s">
        <v>250</v>
      </c>
      <c r="AQ78" s="72" t="s">
        <v>251</v>
      </c>
      <c r="AR78" s="72" t="s">
        <v>252</v>
      </c>
      <c r="AS78" s="72" t="s">
        <v>250</v>
      </c>
      <c r="AT78" s="72"/>
      <c r="AU78" s="72"/>
    </row>
    <row r="79" spans="1:47" ht="33.75" x14ac:dyDescent="0.2">
      <c r="A79" s="44">
        <v>196</v>
      </c>
      <c r="B79" s="33" t="s">
        <v>90</v>
      </c>
      <c r="C79" s="33" t="s">
        <v>78</v>
      </c>
      <c r="D79" s="33" t="s">
        <v>375</v>
      </c>
      <c r="E79" s="33"/>
      <c r="F79" s="45" t="s">
        <v>374</v>
      </c>
      <c r="G79" s="45" t="s">
        <v>69</v>
      </c>
      <c r="H79" s="45" t="s">
        <v>28</v>
      </c>
      <c r="I79" s="75">
        <v>862004</v>
      </c>
      <c r="J79" s="195">
        <v>5</v>
      </c>
      <c r="K79" s="94">
        <v>4310020</v>
      </c>
      <c r="L79" s="59">
        <v>44968</v>
      </c>
      <c r="M79" s="58">
        <v>45097</v>
      </c>
      <c r="N79" s="80">
        <v>4310020</v>
      </c>
      <c r="O79" s="86"/>
      <c r="P79" s="86"/>
      <c r="Q79" s="78">
        <v>0</v>
      </c>
      <c r="R79" s="80">
        <v>4310020</v>
      </c>
      <c r="S79" s="87" t="s">
        <v>243</v>
      </c>
      <c r="T79" s="82" t="s">
        <v>373</v>
      </c>
      <c r="U79" s="88" t="s">
        <v>361</v>
      </c>
      <c r="V79" s="83" t="s">
        <v>244</v>
      </c>
      <c r="W79" s="84" t="s">
        <v>551</v>
      </c>
      <c r="X79" s="87">
        <v>80111600</v>
      </c>
      <c r="Y79" s="197" t="s">
        <v>516</v>
      </c>
      <c r="Z79" s="61">
        <v>44963</v>
      </c>
      <c r="AA79" s="61">
        <v>44978</v>
      </c>
      <c r="AB79" s="62">
        <v>5</v>
      </c>
      <c r="AC79" s="63" t="s">
        <v>241</v>
      </c>
      <c r="AD79" s="64" t="s">
        <v>242</v>
      </c>
      <c r="AE79" s="50">
        <v>4310020</v>
      </c>
      <c r="AF79" s="50">
        <v>4310020</v>
      </c>
      <c r="AG79" s="65" t="s">
        <v>244</v>
      </c>
      <c r="AH79" s="65" t="s">
        <v>245</v>
      </c>
      <c r="AI79" s="66" t="s">
        <v>246</v>
      </c>
      <c r="AJ79" s="67" t="s">
        <v>247</v>
      </c>
      <c r="AK79" s="68" t="s">
        <v>372</v>
      </c>
      <c r="AL79" s="69" t="s">
        <v>248</v>
      </c>
      <c r="AM79" s="70" t="s">
        <v>249</v>
      </c>
      <c r="AN79" s="65" t="s">
        <v>244</v>
      </c>
      <c r="AO79" s="65" t="s">
        <v>244</v>
      </c>
      <c r="AP79" s="71" t="s">
        <v>250</v>
      </c>
      <c r="AQ79" s="72" t="s">
        <v>251</v>
      </c>
      <c r="AR79" s="72" t="s">
        <v>252</v>
      </c>
      <c r="AS79" s="72" t="s">
        <v>250</v>
      </c>
      <c r="AT79" s="72"/>
      <c r="AU79" s="72"/>
    </row>
    <row r="80" spans="1:47" ht="33.75" x14ac:dyDescent="0.2">
      <c r="A80" s="44">
        <v>197</v>
      </c>
      <c r="B80" s="33" t="s">
        <v>90</v>
      </c>
      <c r="C80" s="33" t="s">
        <v>78</v>
      </c>
      <c r="D80" s="33" t="s">
        <v>375</v>
      </c>
      <c r="E80" s="33"/>
      <c r="F80" s="45" t="s">
        <v>374</v>
      </c>
      <c r="G80" s="45" t="s">
        <v>69</v>
      </c>
      <c r="H80" s="45" t="s">
        <v>28</v>
      </c>
      <c r="I80" s="75">
        <v>862004</v>
      </c>
      <c r="J80" s="195">
        <v>5</v>
      </c>
      <c r="K80" s="94">
        <v>4310020</v>
      </c>
      <c r="L80" s="59">
        <v>44968</v>
      </c>
      <c r="M80" s="58">
        <v>45097</v>
      </c>
      <c r="N80" s="80">
        <v>4310020</v>
      </c>
      <c r="O80" s="86"/>
      <c r="P80" s="86"/>
      <c r="Q80" s="78">
        <v>0</v>
      </c>
      <c r="R80" s="80">
        <v>4310020</v>
      </c>
      <c r="S80" s="87" t="s">
        <v>243</v>
      </c>
      <c r="T80" s="82" t="s">
        <v>373</v>
      </c>
      <c r="U80" s="88" t="s">
        <v>361</v>
      </c>
      <c r="V80" s="83" t="s">
        <v>244</v>
      </c>
      <c r="W80" s="84" t="s">
        <v>552</v>
      </c>
      <c r="X80" s="87">
        <v>80111600</v>
      </c>
      <c r="Y80" s="197" t="s">
        <v>516</v>
      </c>
      <c r="Z80" s="61">
        <v>44963</v>
      </c>
      <c r="AA80" s="61">
        <v>44979</v>
      </c>
      <c r="AB80" s="62">
        <v>5</v>
      </c>
      <c r="AC80" s="63" t="s">
        <v>241</v>
      </c>
      <c r="AD80" s="64" t="s">
        <v>242</v>
      </c>
      <c r="AE80" s="50">
        <v>4310020</v>
      </c>
      <c r="AF80" s="50">
        <v>4310020</v>
      </c>
      <c r="AG80" s="65" t="s">
        <v>244</v>
      </c>
      <c r="AH80" s="65" t="s">
        <v>245</v>
      </c>
      <c r="AI80" s="66" t="s">
        <v>246</v>
      </c>
      <c r="AJ80" s="67" t="s">
        <v>247</v>
      </c>
      <c r="AK80" s="68" t="s">
        <v>372</v>
      </c>
      <c r="AL80" s="69" t="s">
        <v>248</v>
      </c>
      <c r="AM80" s="70" t="s">
        <v>249</v>
      </c>
      <c r="AN80" s="65" t="s">
        <v>244</v>
      </c>
      <c r="AO80" s="65" t="s">
        <v>244</v>
      </c>
      <c r="AP80" s="71" t="s">
        <v>250</v>
      </c>
      <c r="AQ80" s="72" t="s">
        <v>251</v>
      </c>
      <c r="AR80" s="72" t="s">
        <v>252</v>
      </c>
      <c r="AS80" s="72" t="s">
        <v>250</v>
      </c>
      <c r="AT80" s="72"/>
      <c r="AU80" s="72"/>
    </row>
    <row r="81" spans="1:47" ht="33.75" x14ac:dyDescent="0.2">
      <c r="A81" s="44">
        <v>198</v>
      </c>
      <c r="B81" s="33" t="s">
        <v>90</v>
      </c>
      <c r="C81" s="33" t="s">
        <v>78</v>
      </c>
      <c r="D81" s="33" t="s">
        <v>375</v>
      </c>
      <c r="E81" s="33"/>
      <c r="F81" s="45" t="s">
        <v>374</v>
      </c>
      <c r="G81" s="45" t="s">
        <v>69</v>
      </c>
      <c r="H81" s="45" t="s">
        <v>28</v>
      </c>
      <c r="I81" s="75">
        <v>1028068</v>
      </c>
      <c r="J81" s="195">
        <v>5</v>
      </c>
      <c r="K81" s="94">
        <v>5140340</v>
      </c>
      <c r="L81" s="59">
        <v>44968</v>
      </c>
      <c r="M81" s="58">
        <v>45097</v>
      </c>
      <c r="N81" s="80">
        <v>5140340</v>
      </c>
      <c r="O81" s="86"/>
      <c r="P81" s="86"/>
      <c r="Q81" s="78">
        <v>0</v>
      </c>
      <c r="R81" s="80">
        <v>5140340</v>
      </c>
      <c r="S81" s="87" t="s">
        <v>243</v>
      </c>
      <c r="T81" s="82" t="s">
        <v>373</v>
      </c>
      <c r="U81" s="88" t="s">
        <v>361</v>
      </c>
      <c r="V81" s="83" t="s">
        <v>244</v>
      </c>
      <c r="W81" s="84" t="s">
        <v>553</v>
      </c>
      <c r="X81" s="87">
        <v>80111600</v>
      </c>
      <c r="Y81" s="197" t="s">
        <v>516</v>
      </c>
      <c r="Z81" s="61">
        <v>44963</v>
      </c>
      <c r="AA81" s="61">
        <v>44980</v>
      </c>
      <c r="AB81" s="62">
        <v>5</v>
      </c>
      <c r="AC81" s="63" t="s">
        <v>241</v>
      </c>
      <c r="AD81" s="64" t="s">
        <v>242</v>
      </c>
      <c r="AE81" s="50">
        <v>5140340</v>
      </c>
      <c r="AF81" s="50">
        <v>5140340</v>
      </c>
      <c r="AG81" s="65" t="s">
        <v>244</v>
      </c>
      <c r="AH81" s="65" t="s">
        <v>245</v>
      </c>
      <c r="AI81" s="66" t="s">
        <v>246</v>
      </c>
      <c r="AJ81" s="67" t="s">
        <v>247</v>
      </c>
      <c r="AK81" s="68" t="s">
        <v>372</v>
      </c>
      <c r="AL81" s="69" t="s">
        <v>248</v>
      </c>
      <c r="AM81" s="70" t="s">
        <v>249</v>
      </c>
      <c r="AN81" s="65" t="s">
        <v>244</v>
      </c>
      <c r="AO81" s="65" t="s">
        <v>244</v>
      </c>
      <c r="AP81" s="71" t="s">
        <v>250</v>
      </c>
      <c r="AQ81" s="72" t="s">
        <v>251</v>
      </c>
      <c r="AR81" s="72" t="s">
        <v>252</v>
      </c>
      <c r="AS81" s="72" t="s">
        <v>250</v>
      </c>
      <c r="AT81" s="72"/>
      <c r="AU81" s="72"/>
    </row>
    <row r="82" spans="1:47" ht="33.75" x14ac:dyDescent="0.2">
      <c r="A82" s="44">
        <v>199</v>
      </c>
      <c r="B82" s="33" t="s">
        <v>90</v>
      </c>
      <c r="C82" s="33" t="s">
        <v>78</v>
      </c>
      <c r="D82" s="33" t="s">
        <v>375</v>
      </c>
      <c r="E82" s="33"/>
      <c r="F82" s="45" t="s">
        <v>374</v>
      </c>
      <c r="G82" s="45" t="s">
        <v>69</v>
      </c>
      <c r="H82" s="45" t="s">
        <v>28</v>
      </c>
      <c r="I82" s="75">
        <v>862004</v>
      </c>
      <c r="J82" s="195">
        <v>5</v>
      </c>
      <c r="K82" s="94">
        <v>4310020</v>
      </c>
      <c r="L82" s="59">
        <v>44968</v>
      </c>
      <c r="M82" s="58">
        <v>45097</v>
      </c>
      <c r="N82" s="80">
        <v>4310020</v>
      </c>
      <c r="O82" s="86"/>
      <c r="P82" s="86"/>
      <c r="Q82" s="78">
        <v>0</v>
      </c>
      <c r="R82" s="80">
        <v>4310020</v>
      </c>
      <c r="S82" s="87" t="s">
        <v>243</v>
      </c>
      <c r="T82" s="82" t="s">
        <v>373</v>
      </c>
      <c r="U82" s="88" t="s">
        <v>361</v>
      </c>
      <c r="V82" s="83" t="s">
        <v>244</v>
      </c>
      <c r="W82" s="84" t="s">
        <v>554</v>
      </c>
      <c r="X82" s="87">
        <v>80111600</v>
      </c>
      <c r="Y82" s="197" t="s">
        <v>516</v>
      </c>
      <c r="Z82" s="61">
        <v>44963</v>
      </c>
      <c r="AA82" s="61">
        <v>44981</v>
      </c>
      <c r="AB82" s="62">
        <v>5</v>
      </c>
      <c r="AC82" s="63" t="s">
        <v>241</v>
      </c>
      <c r="AD82" s="64" t="s">
        <v>242</v>
      </c>
      <c r="AE82" s="50">
        <v>4310020</v>
      </c>
      <c r="AF82" s="50">
        <v>4310020</v>
      </c>
      <c r="AG82" s="65" t="s">
        <v>244</v>
      </c>
      <c r="AH82" s="65" t="s">
        <v>245</v>
      </c>
      <c r="AI82" s="66" t="s">
        <v>246</v>
      </c>
      <c r="AJ82" s="67" t="s">
        <v>247</v>
      </c>
      <c r="AK82" s="68" t="s">
        <v>372</v>
      </c>
      <c r="AL82" s="69" t="s">
        <v>248</v>
      </c>
      <c r="AM82" s="70" t="s">
        <v>249</v>
      </c>
      <c r="AN82" s="65" t="s">
        <v>244</v>
      </c>
      <c r="AO82" s="65" t="s">
        <v>244</v>
      </c>
      <c r="AP82" s="71" t="s">
        <v>250</v>
      </c>
      <c r="AQ82" s="72" t="s">
        <v>251</v>
      </c>
      <c r="AR82" s="72" t="s">
        <v>252</v>
      </c>
      <c r="AS82" s="72" t="s">
        <v>250</v>
      </c>
      <c r="AT82" s="72"/>
      <c r="AU82" s="72"/>
    </row>
    <row r="83" spans="1:47" ht="33.75" x14ac:dyDescent="0.2">
      <c r="A83" s="44">
        <v>200</v>
      </c>
      <c r="B83" s="33" t="s">
        <v>90</v>
      </c>
      <c r="C83" s="33" t="s">
        <v>78</v>
      </c>
      <c r="D83" s="33" t="s">
        <v>375</v>
      </c>
      <c r="E83" s="33"/>
      <c r="F83" s="45" t="s">
        <v>374</v>
      </c>
      <c r="G83" s="45" t="s">
        <v>69</v>
      </c>
      <c r="H83" s="45" t="s">
        <v>28</v>
      </c>
      <c r="I83" s="75">
        <v>862004</v>
      </c>
      <c r="J83" s="195">
        <v>5</v>
      </c>
      <c r="K83" s="94">
        <v>4310020</v>
      </c>
      <c r="L83" s="59">
        <v>44968</v>
      </c>
      <c r="M83" s="58">
        <v>45097</v>
      </c>
      <c r="N83" s="80">
        <v>4310020</v>
      </c>
      <c r="O83" s="86"/>
      <c r="P83" s="86"/>
      <c r="Q83" s="78">
        <v>0</v>
      </c>
      <c r="R83" s="80">
        <v>4310020</v>
      </c>
      <c r="S83" s="87" t="s">
        <v>243</v>
      </c>
      <c r="T83" s="82" t="s">
        <v>373</v>
      </c>
      <c r="U83" s="88" t="s">
        <v>361</v>
      </c>
      <c r="V83" s="83" t="s">
        <v>244</v>
      </c>
      <c r="W83" s="84" t="s">
        <v>555</v>
      </c>
      <c r="X83" s="87">
        <v>80111600</v>
      </c>
      <c r="Y83" s="197" t="s">
        <v>516</v>
      </c>
      <c r="Z83" s="61">
        <v>44963</v>
      </c>
      <c r="AA83" s="61">
        <v>44982</v>
      </c>
      <c r="AB83" s="62">
        <v>5</v>
      </c>
      <c r="AC83" s="63" t="s">
        <v>241</v>
      </c>
      <c r="AD83" s="64" t="s">
        <v>242</v>
      </c>
      <c r="AE83" s="50">
        <v>4310020</v>
      </c>
      <c r="AF83" s="50">
        <v>4310020</v>
      </c>
      <c r="AG83" s="65" t="s">
        <v>244</v>
      </c>
      <c r="AH83" s="65" t="s">
        <v>245</v>
      </c>
      <c r="AI83" s="66" t="s">
        <v>246</v>
      </c>
      <c r="AJ83" s="67" t="s">
        <v>247</v>
      </c>
      <c r="AK83" s="68" t="s">
        <v>372</v>
      </c>
      <c r="AL83" s="69" t="s">
        <v>248</v>
      </c>
      <c r="AM83" s="70" t="s">
        <v>249</v>
      </c>
      <c r="AN83" s="65" t="s">
        <v>244</v>
      </c>
      <c r="AO83" s="65" t="s">
        <v>244</v>
      </c>
      <c r="AP83" s="71" t="s">
        <v>250</v>
      </c>
      <c r="AQ83" s="72" t="s">
        <v>251</v>
      </c>
      <c r="AR83" s="72" t="s">
        <v>252</v>
      </c>
      <c r="AS83" s="72" t="s">
        <v>250</v>
      </c>
      <c r="AT83" s="72"/>
      <c r="AU83" s="72"/>
    </row>
    <row r="84" spans="1:47" ht="33.75" x14ac:dyDescent="0.2">
      <c r="A84" s="44">
        <v>201</v>
      </c>
      <c r="B84" s="33" t="s">
        <v>90</v>
      </c>
      <c r="C84" s="33" t="s">
        <v>78</v>
      </c>
      <c r="D84" s="33" t="s">
        <v>375</v>
      </c>
      <c r="E84" s="33"/>
      <c r="F84" s="45" t="s">
        <v>374</v>
      </c>
      <c r="G84" s="45" t="s">
        <v>69</v>
      </c>
      <c r="H84" s="45" t="s">
        <v>28</v>
      </c>
      <c r="I84" s="75">
        <v>862004</v>
      </c>
      <c r="J84" s="195">
        <v>5</v>
      </c>
      <c r="K84" s="94">
        <v>4310020</v>
      </c>
      <c r="L84" s="59">
        <v>44968</v>
      </c>
      <c r="M84" s="58">
        <v>45097</v>
      </c>
      <c r="N84" s="80">
        <v>4310020</v>
      </c>
      <c r="O84" s="86"/>
      <c r="P84" s="86"/>
      <c r="Q84" s="78">
        <v>0</v>
      </c>
      <c r="R84" s="80">
        <v>4310020</v>
      </c>
      <c r="S84" s="87" t="s">
        <v>243</v>
      </c>
      <c r="T84" s="82" t="s">
        <v>373</v>
      </c>
      <c r="U84" s="88" t="s">
        <v>361</v>
      </c>
      <c r="V84" s="83" t="s">
        <v>244</v>
      </c>
      <c r="W84" s="84" t="s">
        <v>556</v>
      </c>
      <c r="X84" s="87">
        <v>80111600</v>
      </c>
      <c r="Y84" s="197" t="s">
        <v>516</v>
      </c>
      <c r="Z84" s="61">
        <v>44963</v>
      </c>
      <c r="AA84" s="61">
        <v>44983</v>
      </c>
      <c r="AB84" s="62">
        <v>5</v>
      </c>
      <c r="AC84" s="63" t="s">
        <v>241</v>
      </c>
      <c r="AD84" s="64" t="s">
        <v>242</v>
      </c>
      <c r="AE84" s="50">
        <v>4310020</v>
      </c>
      <c r="AF84" s="50">
        <v>4310020</v>
      </c>
      <c r="AG84" s="65" t="s">
        <v>244</v>
      </c>
      <c r="AH84" s="65" t="s">
        <v>245</v>
      </c>
      <c r="AI84" s="66" t="s">
        <v>246</v>
      </c>
      <c r="AJ84" s="67" t="s">
        <v>247</v>
      </c>
      <c r="AK84" s="68" t="s">
        <v>372</v>
      </c>
      <c r="AL84" s="69" t="s">
        <v>248</v>
      </c>
      <c r="AM84" s="70" t="s">
        <v>249</v>
      </c>
      <c r="AN84" s="65" t="s">
        <v>244</v>
      </c>
      <c r="AO84" s="65" t="s">
        <v>244</v>
      </c>
      <c r="AP84" s="71" t="s">
        <v>250</v>
      </c>
      <c r="AQ84" s="72" t="s">
        <v>251</v>
      </c>
      <c r="AR84" s="72" t="s">
        <v>252</v>
      </c>
      <c r="AS84" s="72" t="s">
        <v>250</v>
      </c>
      <c r="AT84" s="72"/>
      <c r="AU84" s="72"/>
    </row>
    <row r="85" spans="1:47" ht="33.75" x14ac:dyDescent="0.2">
      <c r="A85" s="44">
        <v>202</v>
      </c>
      <c r="B85" s="33" t="s">
        <v>90</v>
      </c>
      <c r="C85" s="33" t="s">
        <v>78</v>
      </c>
      <c r="D85" s="33" t="s">
        <v>375</v>
      </c>
      <c r="E85" s="33"/>
      <c r="F85" s="45" t="s">
        <v>374</v>
      </c>
      <c r="G85" s="45" t="s">
        <v>69</v>
      </c>
      <c r="H85" s="45" t="s">
        <v>28</v>
      </c>
      <c r="I85" s="95">
        <v>862004</v>
      </c>
      <c r="J85" s="200">
        <v>5</v>
      </c>
      <c r="K85" s="100">
        <v>4310020</v>
      </c>
      <c r="L85" s="59">
        <v>44968</v>
      </c>
      <c r="M85" s="58">
        <v>45097</v>
      </c>
      <c r="N85" s="80">
        <v>4310020</v>
      </c>
      <c r="O85" s="86"/>
      <c r="P85" s="86"/>
      <c r="Q85" s="78">
        <v>0</v>
      </c>
      <c r="R85" s="80">
        <v>4310020</v>
      </c>
      <c r="S85" s="87" t="s">
        <v>243</v>
      </c>
      <c r="T85" s="82" t="s">
        <v>373</v>
      </c>
      <c r="U85" s="88" t="s">
        <v>361</v>
      </c>
      <c r="V85" s="83" t="s">
        <v>244</v>
      </c>
      <c r="W85" s="84" t="s">
        <v>557</v>
      </c>
      <c r="X85" s="87">
        <v>80111600</v>
      </c>
      <c r="Y85" s="34" t="s">
        <v>516</v>
      </c>
      <c r="Z85" s="61">
        <v>44963</v>
      </c>
      <c r="AA85" s="61">
        <v>44984</v>
      </c>
      <c r="AB85" s="62">
        <v>5</v>
      </c>
      <c r="AC85" s="63" t="s">
        <v>241</v>
      </c>
      <c r="AD85" s="64" t="s">
        <v>242</v>
      </c>
      <c r="AE85" s="50">
        <v>4310020</v>
      </c>
      <c r="AF85" s="50">
        <v>4310020</v>
      </c>
      <c r="AG85" s="65" t="s">
        <v>244</v>
      </c>
      <c r="AH85" s="65" t="s">
        <v>245</v>
      </c>
      <c r="AI85" s="66" t="s">
        <v>246</v>
      </c>
      <c r="AJ85" s="67" t="s">
        <v>247</v>
      </c>
      <c r="AK85" s="68" t="s">
        <v>372</v>
      </c>
      <c r="AL85" s="69" t="s">
        <v>248</v>
      </c>
      <c r="AM85" s="70" t="s">
        <v>249</v>
      </c>
      <c r="AN85" s="65" t="s">
        <v>244</v>
      </c>
      <c r="AO85" s="65" t="s">
        <v>244</v>
      </c>
      <c r="AP85" s="71" t="s">
        <v>250</v>
      </c>
      <c r="AQ85" s="72" t="s">
        <v>251</v>
      </c>
      <c r="AR85" s="72" t="s">
        <v>252</v>
      </c>
      <c r="AS85" s="72" t="s">
        <v>250</v>
      </c>
      <c r="AT85" s="72"/>
      <c r="AU85" s="72"/>
    </row>
    <row r="86" spans="1:47" ht="33.75" x14ac:dyDescent="0.2">
      <c r="A86" s="44">
        <v>203</v>
      </c>
      <c r="B86" s="33" t="s">
        <v>90</v>
      </c>
      <c r="C86" s="33" t="s">
        <v>78</v>
      </c>
      <c r="D86" s="33" t="s">
        <v>375</v>
      </c>
      <c r="E86" s="33"/>
      <c r="F86" s="45" t="s">
        <v>374</v>
      </c>
      <c r="G86" s="45" t="s">
        <v>67</v>
      </c>
      <c r="H86" s="45" t="s">
        <v>28</v>
      </c>
      <c r="I86" s="95">
        <v>1013090</v>
      </c>
      <c r="J86" s="200">
        <v>5</v>
      </c>
      <c r="K86" s="100">
        <v>5065450</v>
      </c>
      <c r="L86" s="59">
        <v>44968</v>
      </c>
      <c r="M86" s="58">
        <v>45097</v>
      </c>
      <c r="N86" s="80">
        <v>5065450</v>
      </c>
      <c r="O86" s="86"/>
      <c r="P86" s="86"/>
      <c r="Q86" s="78">
        <v>0</v>
      </c>
      <c r="R86" s="80">
        <v>5065450</v>
      </c>
      <c r="S86" s="87" t="s">
        <v>243</v>
      </c>
      <c r="T86" s="82" t="s">
        <v>373</v>
      </c>
      <c r="U86" s="88" t="s">
        <v>361</v>
      </c>
      <c r="V86" s="83" t="s">
        <v>244</v>
      </c>
      <c r="W86" s="84" t="s">
        <v>558</v>
      </c>
      <c r="X86" s="87">
        <v>80111600</v>
      </c>
      <c r="Y86" s="34" t="s">
        <v>516</v>
      </c>
      <c r="Z86" s="61">
        <v>44963</v>
      </c>
      <c r="AA86" s="61">
        <v>44985</v>
      </c>
      <c r="AB86" s="62">
        <v>5</v>
      </c>
      <c r="AC86" s="63" t="s">
        <v>241</v>
      </c>
      <c r="AD86" s="64" t="s">
        <v>242</v>
      </c>
      <c r="AE86" s="50">
        <v>5065450</v>
      </c>
      <c r="AF86" s="50">
        <v>5065450</v>
      </c>
      <c r="AG86" s="65" t="s">
        <v>244</v>
      </c>
      <c r="AH86" s="65" t="s">
        <v>245</v>
      </c>
      <c r="AI86" s="66" t="s">
        <v>246</v>
      </c>
      <c r="AJ86" s="67" t="s">
        <v>247</v>
      </c>
      <c r="AK86" s="68" t="s">
        <v>372</v>
      </c>
      <c r="AL86" s="69" t="s">
        <v>248</v>
      </c>
      <c r="AM86" s="70" t="s">
        <v>249</v>
      </c>
      <c r="AN86" s="65" t="s">
        <v>244</v>
      </c>
      <c r="AO86" s="65" t="s">
        <v>244</v>
      </c>
      <c r="AP86" s="71" t="s">
        <v>250</v>
      </c>
      <c r="AQ86" s="72" t="s">
        <v>251</v>
      </c>
      <c r="AR86" s="72" t="s">
        <v>252</v>
      </c>
      <c r="AS86" s="72" t="s">
        <v>250</v>
      </c>
      <c r="AT86" s="72"/>
      <c r="AU86" s="72"/>
    </row>
    <row r="87" spans="1:47" ht="33.75" x14ac:dyDescent="0.2">
      <c r="A87" s="44">
        <v>204</v>
      </c>
      <c r="B87" s="33" t="s">
        <v>90</v>
      </c>
      <c r="C87" s="33" t="s">
        <v>78</v>
      </c>
      <c r="D87" s="33" t="s">
        <v>375</v>
      </c>
      <c r="E87" s="33"/>
      <c r="F87" s="45" t="s">
        <v>374</v>
      </c>
      <c r="G87" s="45" t="s">
        <v>69</v>
      </c>
      <c r="H87" s="45" t="s">
        <v>28</v>
      </c>
      <c r="I87" s="95">
        <v>862004</v>
      </c>
      <c r="J87" s="200">
        <v>5</v>
      </c>
      <c r="K87" s="100">
        <v>4310020</v>
      </c>
      <c r="L87" s="59">
        <v>44968</v>
      </c>
      <c r="M87" s="58">
        <v>45097</v>
      </c>
      <c r="N87" s="80">
        <v>4310020</v>
      </c>
      <c r="O87" s="86"/>
      <c r="P87" s="86"/>
      <c r="Q87" s="78">
        <v>0</v>
      </c>
      <c r="R87" s="80">
        <v>4310020</v>
      </c>
      <c r="S87" s="87" t="s">
        <v>243</v>
      </c>
      <c r="T87" s="82" t="s">
        <v>373</v>
      </c>
      <c r="U87" s="88" t="s">
        <v>361</v>
      </c>
      <c r="V87" s="83" t="s">
        <v>244</v>
      </c>
      <c r="W87" s="84" t="s">
        <v>559</v>
      </c>
      <c r="X87" s="87">
        <v>80111600</v>
      </c>
      <c r="Y87" s="34" t="s">
        <v>516</v>
      </c>
      <c r="Z87" s="61">
        <v>44963</v>
      </c>
      <c r="AA87" s="61">
        <v>44985</v>
      </c>
      <c r="AB87" s="62">
        <v>5</v>
      </c>
      <c r="AC87" s="63" t="s">
        <v>241</v>
      </c>
      <c r="AD87" s="64" t="s">
        <v>242</v>
      </c>
      <c r="AE87" s="50">
        <v>4310020</v>
      </c>
      <c r="AF87" s="50">
        <v>4310020</v>
      </c>
      <c r="AG87" s="65" t="s">
        <v>244</v>
      </c>
      <c r="AH87" s="65" t="s">
        <v>245</v>
      </c>
      <c r="AI87" s="66" t="s">
        <v>246</v>
      </c>
      <c r="AJ87" s="67" t="s">
        <v>247</v>
      </c>
      <c r="AK87" s="68" t="s">
        <v>372</v>
      </c>
      <c r="AL87" s="69" t="s">
        <v>248</v>
      </c>
      <c r="AM87" s="70" t="s">
        <v>249</v>
      </c>
      <c r="AN87" s="65" t="s">
        <v>244</v>
      </c>
      <c r="AO87" s="65" t="s">
        <v>244</v>
      </c>
      <c r="AP87" s="71" t="s">
        <v>250</v>
      </c>
      <c r="AQ87" s="72" t="s">
        <v>251</v>
      </c>
      <c r="AR87" s="72" t="s">
        <v>252</v>
      </c>
      <c r="AS87" s="72" t="s">
        <v>250</v>
      </c>
      <c r="AT87" s="72"/>
      <c r="AU87" s="72"/>
    </row>
    <row r="88" spans="1:47" ht="33.75" x14ac:dyDescent="0.2">
      <c r="A88" s="44">
        <v>205</v>
      </c>
      <c r="B88" s="33" t="s">
        <v>90</v>
      </c>
      <c r="C88" s="33" t="s">
        <v>78</v>
      </c>
      <c r="D88" s="33" t="s">
        <v>375</v>
      </c>
      <c r="E88" s="33"/>
      <c r="F88" s="45" t="s">
        <v>374</v>
      </c>
      <c r="G88" s="45" t="s">
        <v>69</v>
      </c>
      <c r="H88" s="45" t="s">
        <v>28</v>
      </c>
      <c r="I88" s="95">
        <v>862004</v>
      </c>
      <c r="J88" s="200">
        <v>5</v>
      </c>
      <c r="K88" s="100">
        <v>4310020</v>
      </c>
      <c r="L88" s="59">
        <v>44968</v>
      </c>
      <c r="M88" s="58">
        <v>45097</v>
      </c>
      <c r="N88" s="80">
        <v>4310020</v>
      </c>
      <c r="O88" s="86"/>
      <c r="P88" s="86"/>
      <c r="Q88" s="78">
        <v>0</v>
      </c>
      <c r="R88" s="80">
        <v>4310020</v>
      </c>
      <c r="S88" s="87" t="s">
        <v>243</v>
      </c>
      <c r="T88" s="82" t="s">
        <v>373</v>
      </c>
      <c r="U88" s="88" t="s">
        <v>361</v>
      </c>
      <c r="V88" s="83" t="s">
        <v>244</v>
      </c>
      <c r="W88" s="84" t="s">
        <v>560</v>
      </c>
      <c r="X88" s="87">
        <v>80111600</v>
      </c>
      <c r="Y88" s="34" t="s">
        <v>516</v>
      </c>
      <c r="Z88" s="61">
        <v>44963</v>
      </c>
      <c r="AA88" s="61">
        <v>44985</v>
      </c>
      <c r="AB88" s="62">
        <v>5</v>
      </c>
      <c r="AC88" s="63" t="s">
        <v>241</v>
      </c>
      <c r="AD88" s="64" t="s">
        <v>242</v>
      </c>
      <c r="AE88" s="50">
        <v>4310020</v>
      </c>
      <c r="AF88" s="50">
        <v>4310020</v>
      </c>
      <c r="AG88" s="65" t="s">
        <v>244</v>
      </c>
      <c r="AH88" s="65" t="s">
        <v>245</v>
      </c>
      <c r="AI88" s="66" t="s">
        <v>246</v>
      </c>
      <c r="AJ88" s="67" t="s">
        <v>247</v>
      </c>
      <c r="AK88" s="68" t="s">
        <v>372</v>
      </c>
      <c r="AL88" s="69" t="s">
        <v>248</v>
      </c>
      <c r="AM88" s="70" t="s">
        <v>249</v>
      </c>
      <c r="AN88" s="65" t="s">
        <v>244</v>
      </c>
      <c r="AO88" s="65" t="s">
        <v>244</v>
      </c>
      <c r="AP88" s="71" t="s">
        <v>250</v>
      </c>
      <c r="AQ88" s="72" t="s">
        <v>251</v>
      </c>
      <c r="AR88" s="72" t="s">
        <v>252</v>
      </c>
      <c r="AS88" s="72" t="s">
        <v>250</v>
      </c>
      <c r="AT88" s="72"/>
      <c r="AU88" s="72"/>
    </row>
    <row r="89" spans="1:47" ht="33.75" x14ac:dyDescent="0.2">
      <c r="A89" s="44">
        <v>206</v>
      </c>
      <c r="B89" s="33" t="s">
        <v>90</v>
      </c>
      <c r="C89" s="33" t="s">
        <v>78</v>
      </c>
      <c r="D89" s="33" t="s">
        <v>375</v>
      </c>
      <c r="E89" s="33"/>
      <c r="F89" s="45" t="s">
        <v>374</v>
      </c>
      <c r="G89" s="45" t="s">
        <v>69</v>
      </c>
      <c r="H89" s="45" t="s">
        <v>28</v>
      </c>
      <c r="I89" s="95">
        <v>1924813</v>
      </c>
      <c r="J89" s="200">
        <v>5</v>
      </c>
      <c r="K89" s="100">
        <v>9624065</v>
      </c>
      <c r="L89" s="59">
        <v>44968</v>
      </c>
      <c r="M89" s="58">
        <v>45097</v>
      </c>
      <c r="N89" s="80">
        <v>9624065</v>
      </c>
      <c r="O89" s="86"/>
      <c r="P89" s="86"/>
      <c r="Q89" s="78">
        <v>0</v>
      </c>
      <c r="R89" s="80">
        <v>9624065</v>
      </c>
      <c r="S89" s="87" t="s">
        <v>243</v>
      </c>
      <c r="T89" s="82" t="s">
        <v>373</v>
      </c>
      <c r="U89" s="88" t="s">
        <v>361</v>
      </c>
      <c r="V89" s="83" t="s">
        <v>244</v>
      </c>
      <c r="W89" s="84" t="s">
        <v>561</v>
      </c>
      <c r="X89" s="87">
        <v>80111600</v>
      </c>
      <c r="Y89" s="34" t="s">
        <v>516</v>
      </c>
      <c r="Z89" s="61">
        <v>44963</v>
      </c>
      <c r="AA89" s="61">
        <v>44985</v>
      </c>
      <c r="AB89" s="62">
        <v>5</v>
      </c>
      <c r="AC89" s="63" t="s">
        <v>241</v>
      </c>
      <c r="AD89" s="64" t="s">
        <v>242</v>
      </c>
      <c r="AE89" s="50">
        <v>9624065</v>
      </c>
      <c r="AF89" s="50">
        <v>9624065</v>
      </c>
      <c r="AG89" s="65" t="s">
        <v>244</v>
      </c>
      <c r="AH89" s="65" t="s">
        <v>245</v>
      </c>
      <c r="AI89" s="66" t="s">
        <v>246</v>
      </c>
      <c r="AJ89" s="67" t="s">
        <v>247</v>
      </c>
      <c r="AK89" s="68" t="s">
        <v>372</v>
      </c>
      <c r="AL89" s="69" t="s">
        <v>248</v>
      </c>
      <c r="AM89" s="70" t="s">
        <v>249</v>
      </c>
      <c r="AN89" s="65" t="s">
        <v>244</v>
      </c>
      <c r="AO89" s="65" t="s">
        <v>244</v>
      </c>
      <c r="AP89" s="71" t="s">
        <v>250</v>
      </c>
      <c r="AQ89" s="72" t="s">
        <v>251</v>
      </c>
      <c r="AR89" s="72" t="s">
        <v>252</v>
      </c>
      <c r="AS89" s="72" t="s">
        <v>250</v>
      </c>
      <c r="AT89" s="72"/>
      <c r="AU89" s="72"/>
    </row>
    <row r="90" spans="1:47" ht="33.75" x14ac:dyDescent="0.2">
      <c r="A90" s="44">
        <v>207</v>
      </c>
      <c r="B90" s="33" t="s">
        <v>90</v>
      </c>
      <c r="C90" s="33" t="s">
        <v>78</v>
      </c>
      <c r="D90" s="33" t="s">
        <v>375</v>
      </c>
      <c r="E90" s="33"/>
      <c r="F90" s="45" t="s">
        <v>374</v>
      </c>
      <c r="G90" s="45" t="s">
        <v>69</v>
      </c>
      <c r="H90" s="45" t="s">
        <v>28</v>
      </c>
      <c r="I90" s="95">
        <v>862004</v>
      </c>
      <c r="J90" s="200">
        <v>5</v>
      </c>
      <c r="K90" s="100">
        <v>4310020</v>
      </c>
      <c r="L90" s="59">
        <v>44968</v>
      </c>
      <c r="M90" s="58">
        <v>45097</v>
      </c>
      <c r="N90" s="80">
        <v>4310020</v>
      </c>
      <c r="O90" s="86"/>
      <c r="P90" s="86"/>
      <c r="Q90" s="78">
        <v>0</v>
      </c>
      <c r="R90" s="80">
        <v>4310020</v>
      </c>
      <c r="S90" s="87" t="s">
        <v>243</v>
      </c>
      <c r="T90" s="82" t="s">
        <v>373</v>
      </c>
      <c r="U90" s="88" t="s">
        <v>361</v>
      </c>
      <c r="V90" s="83" t="s">
        <v>244</v>
      </c>
      <c r="W90" s="84" t="s">
        <v>562</v>
      </c>
      <c r="X90" s="87">
        <v>80111600</v>
      </c>
      <c r="Y90" s="34" t="s">
        <v>516</v>
      </c>
      <c r="Z90" s="61">
        <v>44963</v>
      </c>
      <c r="AA90" s="61">
        <v>44985</v>
      </c>
      <c r="AB90" s="62">
        <v>5</v>
      </c>
      <c r="AC90" s="63" t="s">
        <v>241</v>
      </c>
      <c r="AD90" s="64" t="s">
        <v>242</v>
      </c>
      <c r="AE90" s="50">
        <v>4310020</v>
      </c>
      <c r="AF90" s="50">
        <v>4310020</v>
      </c>
      <c r="AG90" s="65" t="s">
        <v>244</v>
      </c>
      <c r="AH90" s="65" t="s">
        <v>245</v>
      </c>
      <c r="AI90" s="66" t="s">
        <v>246</v>
      </c>
      <c r="AJ90" s="67" t="s">
        <v>247</v>
      </c>
      <c r="AK90" s="68" t="s">
        <v>372</v>
      </c>
      <c r="AL90" s="69" t="s">
        <v>248</v>
      </c>
      <c r="AM90" s="70" t="s">
        <v>249</v>
      </c>
      <c r="AN90" s="65" t="s">
        <v>244</v>
      </c>
      <c r="AO90" s="65" t="s">
        <v>244</v>
      </c>
      <c r="AP90" s="71" t="s">
        <v>250</v>
      </c>
      <c r="AQ90" s="72" t="s">
        <v>251</v>
      </c>
      <c r="AR90" s="72" t="s">
        <v>252</v>
      </c>
      <c r="AS90" s="72" t="s">
        <v>250</v>
      </c>
      <c r="AT90" s="72"/>
      <c r="AU90" s="72"/>
    </row>
    <row r="91" spans="1:47" ht="33.75" x14ac:dyDescent="0.2">
      <c r="A91" s="44">
        <v>208</v>
      </c>
      <c r="B91" s="33" t="s">
        <v>90</v>
      </c>
      <c r="C91" s="33" t="s">
        <v>78</v>
      </c>
      <c r="D91" s="33" t="s">
        <v>375</v>
      </c>
      <c r="E91" s="33"/>
      <c r="F91" s="45" t="s">
        <v>374</v>
      </c>
      <c r="G91" s="45" t="s">
        <v>69</v>
      </c>
      <c r="H91" s="45" t="s">
        <v>28</v>
      </c>
      <c r="I91" s="95">
        <v>862004</v>
      </c>
      <c r="J91" s="200">
        <v>5</v>
      </c>
      <c r="K91" s="100">
        <v>4310020</v>
      </c>
      <c r="L91" s="59">
        <v>44968</v>
      </c>
      <c r="M91" s="58">
        <v>45097</v>
      </c>
      <c r="N91" s="80">
        <v>4310020</v>
      </c>
      <c r="O91" s="86"/>
      <c r="P91" s="86"/>
      <c r="Q91" s="78">
        <v>0</v>
      </c>
      <c r="R91" s="80">
        <v>4310020</v>
      </c>
      <c r="S91" s="87" t="s">
        <v>243</v>
      </c>
      <c r="T91" s="82" t="s">
        <v>373</v>
      </c>
      <c r="U91" s="88" t="s">
        <v>361</v>
      </c>
      <c r="V91" s="83" t="s">
        <v>244</v>
      </c>
      <c r="W91" s="84" t="s">
        <v>563</v>
      </c>
      <c r="X91" s="87">
        <v>80111600</v>
      </c>
      <c r="Y91" s="34" t="s">
        <v>516</v>
      </c>
      <c r="Z91" s="61">
        <v>44963</v>
      </c>
      <c r="AA91" s="61">
        <v>44985</v>
      </c>
      <c r="AB91" s="62">
        <v>5</v>
      </c>
      <c r="AC91" s="63" t="s">
        <v>241</v>
      </c>
      <c r="AD91" s="64" t="s">
        <v>242</v>
      </c>
      <c r="AE91" s="50">
        <v>4310020</v>
      </c>
      <c r="AF91" s="50">
        <v>4310020</v>
      </c>
      <c r="AG91" s="65" t="s">
        <v>244</v>
      </c>
      <c r="AH91" s="65" t="s">
        <v>245</v>
      </c>
      <c r="AI91" s="66" t="s">
        <v>246</v>
      </c>
      <c r="AJ91" s="67" t="s">
        <v>247</v>
      </c>
      <c r="AK91" s="68" t="s">
        <v>372</v>
      </c>
      <c r="AL91" s="69" t="s">
        <v>248</v>
      </c>
      <c r="AM91" s="70" t="s">
        <v>249</v>
      </c>
      <c r="AN91" s="65" t="s">
        <v>244</v>
      </c>
      <c r="AO91" s="65" t="s">
        <v>244</v>
      </c>
      <c r="AP91" s="71" t="s">
        <v>250</v>
      </c>
      <c r="AQ91" s="72" t="s">
        <v>251</v>
      </c>
      <c r="AR91" s="72" t="s">
        <v>252</v>
      </c>
      <c r="AS91" s="72" t="s">
        <v>250</v>
      </c>
      <c r="AT91" s="72"/>
      <c r="AU91" s="72"/>
    </row>
    <row r="92" spans="1:47" ht="33.75" x14ac:dyDescent="0.2">
      <c r="A92" s="44">
        <v>209</v>
      </c>
      <c r="B92" s="33" t="s">
        <v>90</v>
      </c>
      <c r="C92" s="33" t="s">
        <v>78</v>
      </c>
      <c r="D92" s="33" t="s">
        <v>375</v>
      </c>
      <c r="E92" s="33"/>
      <c r="F92" s="45" t="s">
        <v>374</v>
      </c>
      <c r="G92" s="45" t="s">
        <v>69</v>
      </c>
      <c r="H92" s="45" t="s">
        <v>28</v>
      </c>
      <c r="I92" s="95">
        <v>1141066</v>
      </c>
      <c r="J92" s="200">
        <v>5</v>
      </c>
      <c r="K92" s="94">
        <v>4564264</v>
      </c>
      <c r="L92" s="59">
        <v>44981</v>
      </c>
      <c r="M92" s="58">
        <v>45105</v>
      </c>
      <c r="N92" s="80">
        <v>4564264</v>
      </c>
      <c r="O92" s="86"/>
      <c r="P92" s="86"/>
      <c r="Q92" s="78">
        <v>0</v>
      </c>
      <c r="R92" s="80">
        <v>4564264</v>
      </c>
      <c r="S92" s="87" t="s">
        <v>243</v>
      </c>
      <c r="T92" s="82" t="s">
        <v>373</v>
      </c>
      <c r="U92" s="88" t="s">
        <v>361</v>
      </c>
      <c r="V92" s="83" t="s">
        <v>244</v>
      </c>
      <c r="W92" s="84" t="s">
        <v>564</v>
      </c>
      <c r="X92" s="87">
        <v>80111600</v>
      </c>
      <c r="Y92" s="34" t="s">
        <v>516</v>
      </c>
      <c r="Z92" s="61">
        <v>44963</v>
      </c>
      <c r="AA92" s="61">
        <v>44985</v>
      </c>
      <c r="AB92" s="62">
        <v>5</v>
      </c>
      <c r="AC92" s="63" t="s">
        <v>241</v>
      </c>
      <c r="AD92" s="64" t="s">
        <v>242</v>
      </c>
      <c r="AE92" s="50">
        <v>4564264</v>
      </c>
      <c r="AF92" s="50">
        <v>4564264</v>
      </c>
      <c r="AG92" s="65" t="s">
        <v>244</v>
      </c>
      <c r="AH92" s="65" t="s">
        <v>245</v>
      </c>
      <c r="AI92" s="66" t="s">
        <v>246</v>
      </c>
      <c r="AJ92" s="67" t="s">
        <v>247</v>
      </c>
      <c r="AK92" s="68" t="s">
        <v>372</v>
      </c>
      <c r="AL92" s="69" t="s">
        <v>248</v>
      </c>
      <c r="AM92" s="70" t="s">
        <v>249</v>
      </c>
      <c r="AN92" s="65" t="s">
        <v>244</v>
      </c>
      <c r="AO92" s="65" t="s">
        <v>244</v>
      </c>
      <c r="AP92" s="71" t="s">
        <v>250</v>
      </c>
      <c r="AQ92" s="72" t="s">
        <v>251</v>
      </c>
      <c r="AR92" s="72" t="s">
        <v>252</v>
      </c>
      <c r="AS92" s="72" t="s">
        <v>250</v>
      </c>
      <c r="AT92" s="72"/>
      <c r="AU92" s="72"/>
    </row>
    <row r="93" spans="1:47" ht="33.75" x14ac:dyDescent="0.2">
      <c r="A93" s="44">
        <v>210</v>
      </c>
      <c r="B93" s="33" t="s">
        <v>90</v>
      </c>
      <c r="C93" s="33" t="s">
        <v>78</v>
      </c>
      <c r="D93" s="33" t="s">
        <v>375</v>
      </c>
      <c r="E93" s="33"/>
      <c r="F93" s="45" t="s">
        <v>374</v>
      </c>
      <c r="G93" s="45" t="s">
        <v>69</v>
      </c>
      <c r="H93" s="45" t="s">
        <v>28</v>
      </c>
      <c r="I93" s="95">
        <v>862004</v>
      </c>
      <c r="J93" s="200">
        <v>5</v>
      </c>
      <c r="K93" s="100">
        <v>4310020</v>
      </c>
      <c r="L93" s="59">
        <v>44968</v>
      </c>
      <c r="M93" s="58">
        <v>45097</v>
      </c>
      <c r="N93" s="80">
        <v>4310020</v>
      </c>
      <c r="O93" s="86"/>
      <c r="P93" s="86"/>
      <c r="Q93" s="78">
        <v>0</v>
      </c>
      <c r="R93" s="80">
        <v>4310020</v>
      </c>
      <c r="S93" s="87" t="s">
        <v>243</v>
      </c>
      <c r="T93" s="82" t="s">
        <v>373</v>
      </c>
      <c r="U93" s="88" t="s">
        <v>361</v>
      </c>
      <c r="V93" s="83" t="s">
        <v>244</v>
      </c>
      <c r="W93" s="84" t="s">
        <v>565</v>
      </c>
      <c r="X93" s="87">
        <v>80111600</v>
      </c>
      <c r="Y93" s="34" t="s">
        <v>516</v>
      </c>
      <c r="Z93" s="61">
        <v>44963</v>
      </c>
      <c r="AA93" s="61">
        <v>44985</v>
      </c>
      <c r="AB93" s="62">
        <v>5</v>
      </c>
      <c r="AC93" s="63" t="s">
        <v>241</v>
      </c>
      <c r="AD93" s="64" t="s">
        <v>242</v>
      </c>
      <c r="AE93" s="50">
        <v>4310020</v>
      </c>
      <c r="AF93" s="50">
        <v>4310020</v>
      </c>
      <c r="AG93" s="65" t="s">
        <v>244</v>
      </c>
      <c r="AH93" s="65" t="s">
        <v>245</v>
      </c>
      <c r="AI93" s="66" t="s">
        <v>246</v>
      </c>
      <c r="AJ93" s="67" t="s">
        <v>247</v>
      </c>
      <c r="AK93" s="68" t="s">
        <v>372</v>
      </c>
      <c r="AL93" s="69" t="s">
        <v>248</v>
      </c>
      <c r="AM93" s="70" t="s">
        <v>249</v>
      </c>
      <c r="AN93" s="65" t="s">
        <v>244</v>
      </c>
      <c r="AO93" s="65" t="s">
        <v>244</v>
      </c>
      <c r="AP93" s="71" t="s">
        <v>250</v>
      </c>
      <c r="AQ93" s="72" t="s">
        <v>251</v>
      </c>
      <c r="AR93" s="72" t="s">
        <v>252</v>
      </c>
      <c r="AS93" s="72" t="s">
        <v>250</v>
      </c>
      <c r="AT93" s="72"/>
      <c r="AU93" s="72"/>
    </row>
    <row r="94" spans="1:47" ht="33.75" x14ac:dyDescent="0.2">
      <c r="A94" s="44">
        <v>211</v>
      </c>
      <c r="B94" s="33" t="s">
        <v>90</v>
      </c>
      <c r="C94" s="33" t="s">
        <v>78</v>
      </c>
      <c r="D94" s="33" t="s">
        <v>375</v>
      </c>
      <c r="E94" s="33"/>
      <c r="F94" s="45" t="s">
        <v>374</v>
      </c>
      <c r="G94" s="45" t="s">
        <v>69</v>
      </c>
      <c r="H94" s="45" t="s">
        <v>28</v>
      </c>
      <c r="I94" s="95">
        <v>862004</v>
      </c>
      <c r="J94" s="200">
        <v>5</v>
      </c>
      <c r="K94" s="100">
        <v>4310020</v>
      </c>
      <c r="L94" s="59">
        <v>44968</v>
      </c>
      <c r="M94" s="58">
        <v>45097</v>
      </c>
      <c r="N94" s="80">
        <v>4310020</v>
      </c>
      <c r="O94" s="86"/>
      <c r="P94" s="86"/>
      <c r="Q94" s="78">
        <v>0</v>
      </c>
      <c r="R94" s="80">
        <v>4310020</v>
      </c>
      <c r="S94" s="87" t="s">
        <v>243</v>
      </c>
      <c r="T94" s="82" t="s">
        <v>373</v>
      </c>
      <c r="U94" s="88" t="s">
        <v>361</v>
      </c>
      <c r="V94" s="83" t="s">
        <v>244</v>
      </c>
      <c r="W94" s="84" t="s">
        <v>566</v>
      </c>
      <c r="X94" s="87">
        <v>80111600</v>
      </c>
      <c r="Y94" s="34" t="s">
        <v>516</v>
      </c>
      <c r="Z94" s="61">
        <v>44963</v>
      </c>
      <c r="AA94" s="61">
        <v>44985</v>
      </c>
      <c r="AB94" s="62">
        <v>5</v>
      </c>
      <c r="AC94" s="63" t="s">
        <v>241</v>
      </c>
      <c r="AD94" s="64" t="s">
        <v>242</v>
      </c>
      <c r="AE94" s="50">
        <v>4310020</v>
      </c>
      <c r="AF94" s="50">
        <v>4310020</v>
      </c>
      <c r="AG94" s="65" t="s">
        <v>244</v>
      </c>
      <c r="AH94" s="65" t="s">
        <v>245</v>
      </c>
      <c r="AI94" s="66" t="s">
        <v>246</v>
      </c>
      <c r="AJ94" s="67" t="s">
        <v>247</v>
      </c>
      <c r="AK94" s="68" t="s">
        <v>372</v>
      </c>
      <c r="AL94" s="69" t="s">
        <v>248</v>
      </c>
      <c r="AM94" s="70" t="s">
        <v>249</v>
      </c>
      <c r="AN94" s="65" t="s">
        <v>244</v>
      </c>
      <c r="AO94" s="65" t="s">
        <v>244</v>
      </c>
      <c r="AP94" s="71" t="s">
        <v>250</v>
      </c>
      <c r="AQ94" s="72" t="s">
        <v>251</v>
      </c>
      <c r="AR94" s="72" t="s">
        <v>252</v>
      </c>
      <c r="AS94" s="72" t="s">
        <v>250</v>
      </c>
      <c r="AT94" s="72"/>
      <c r="AU94" s="72"/>
    </row>
    <row r="95" spans="1:47" ht="33.75" x14ac:dyDescent="0.2">
      <c r="A95" s="44">
        <v>212</v>
      </c>
      <c r="B95" s="33" t="s">
        <v>90</v>
      </c>
      <c r="C95" s="33" t="s">
        <v>78</v>
      </c>
      <c r="D95" s="33" t="s">
        <v>375</v>
      </c>
      <c r="E95" s="33"/>
      <c r="F95" s="45" t="s">
        <v>374</v>
      </c>
      <c r="G95" s="45" t="s">
        <v>69</v>
      </c>
      <c r="H95" s="45" t="s">
        <v>28</v>
      </c>
      <c r="I95" s="95">
        <v>1013090</v>
      </c>
      <c r="J95" s="200">
        <v>5</v>
      </c>
      <c r="K95" s="100">
        <v>5065450</v>
      </c>
      <c r="L95" s="59">
        <v>44968</v>
      </c>
      <c r="M95" s="58">
        <v>45097</v>
      </c>
      <c r="N95" s="80">
        <v>5065450</v>
      </c>
      <c r="O95" s="86"/>
      <c r="P95" s="86"/>
      <c r="Q95" s="78">
        <v>0</v>
      </c>
      <c r="R95" s="80">
        <v>5065450</v>
      </c>
      <c r="S95" s="87" t="s">
        <v>243</v>
      </c>
      <c r="T95" s="82" t="s">
        <v>373</v>
      </c>
      <c r="U95" s="88" t="s">
        <v>361</v>
      </c>
      <c r="V95" s="83" t="s">
        <v>244</v>
      </c>
      <c r="W95" s="84" t="s">
        <v>567</v>
      </c>
      <c r="X95" s="87">
        <v>80111600</v>
      </c>
      <c r="Y95" s="34" t="s">
        <v>516</v>
      </c>
      <c r="Z95" s="61">
        <v>44963</v>
      </c>
      <c r="AA95" s="61">
        <v>44985</v>
      </c>
      <c r="AB95" s="62">
        <v>5</v>
      </c>
      <c r="AC95" s="63" t="s">
        <v>241</v>
      </c>
      <c r="AD95" s="64" t="s">
        <v>242</v>
      </c>
      <c r="AE95" s="50">
        <v>5065450</v>
      </c>
      <c r="AF95" s="50">
        <v>5065450</v>
      </c>
      <c r="AG95" s="65" t="s">
        <v>244</v>
      </c>
      <c r="AH95" s="65" t="s">
        <v>245</v>
      </c>
      <c r="AI95" s="66" t="s">
        <v>246</v>
      </c>
      <c r="AJ95" s="67" t="s">
        <v>247</v>
      </c>
      <c r="AK95" s="68" t="s">
        <v>372</v>
      </c>
      <c r="AL95" s="69" t="s">
        <v>248</v>
      </c>
      <c r="AM95" s="70" t="s">
        <v>249</v>
      </c>
      <c r="AN95" s="65" t="s">
        <v>244</v>
      </c>
      <c r="AO95" s="65" t="s">
        <v>244</v>
      </c>
      <c r="AP95" s="71" t="s">
        <v>250</v>
      </c>
      <c r="AQ95" s="72" t="s">
        <v>251</v>
      </c>
      <c r="AR95" s="72" t="s">
        <v>252</v>
      </c>
      <c r="AS95" s="72" t="s">
        <v>250</v>
      </c>
      <c r="AT95" s="72"/>
      <c r="AU95" s="72"/>
    </row>
    <row r="96" spans="1:47" ht="33.75" x14ac:dyDescent="0.2">
      <c r="A96" s="44">
        <v>213</v>
      </c>
      <c r="B96" s="33" t="s">
        <v>90</v>
      </c>
      <c r="C96" s="33" t="s">
        <v>78</v>
      </c>
      <c r="D96" s="33" t="s">
        <v>375</v>
      </c>
      <c r="E96" s="33"/>
      <c r="F96" s="45" t="s">
        <v>374</v>
      </c>
      <c r="G96" s="45" t="s">
        <v>69</v>
      </c>
      <c r="H96" s="45" t="s">
        <v>28</v>
      </c>
      <c r="I96" s="95">
        <v>1013090</v>
      </c>
      <c r="J96" s="200">
        <v>5</v>
      </c>
      <c r="K96" s="100">
        <v>5065450</v>
      </c>
      <c r="L96" s="59">
        <v>44968</v>
      </c>
      <c r="M96" s="58">
        <v>45097</v>
      </c>
      <c r="N96" s="80">
        <v>5065450</v>
      </c>
      <c r="O96" s="86"/>
      <c r="P96" s="86"/>
      <c r="Q96" s="78">
        <v>0</v>
      </c>
      <c r="R96" s="80">
        <v>5065450</v>
      </c>
      <c r="S96" s="87" t="s">
        <v>243</v>
      </c>
      <c r="T96" s="82" t="s">
        <v>373</v>
      </c>
      <c r="U96" s="88" t="s">
        <v>361</v>
      </c>
      <c r="V96" s="83" t="s">
        <v>244</v>
      </c>
      <c r="W96" s="84" t="s">
        <v>568</v>
      </c>
      <c r="X96" s="87">
        <v>80111600</v>
      </c>
      <c r="Y96" s="34" t="s">
        <v>516</v>
      </c>
      <c r="Z96" s="61">
        <v>44963</v>
      </c>
      <c r="AA96" s="61">
        <v>44985</v>
      </c>
      <c r="AB96" s="62">
        <v>5</v>
      </c>
      <c r="AC96" s="63" t="s">
        <v>241</v>
      </c>
      <c r="AD96" s="64" t="s">
        <v>242</v>
      </c>
      <c r="AE96" s="50">
        <v>5065450</v>
      </c>
      <c r="AF96" s="50">
        <v>5065450</v>
      </c>
      <c r="AG96" s="65" t="s">
        <v>244</v>
      </c>
      <c r="AH96" s="65" t="s">
        <v>245</v>
      </c>
      <c r="AI96" s="66" t="s">
        <v>246</v>
      </c>
      <c r="AJ96" s="67" t="s">
        <v>247</v>
      </c>
      <c r="AK96" s="68" t="s">
        <v>372</v>
      </c>
      <c r="AL96" s="69" t="s">
        <v>248</v>
      </c>
      <c r="AM96" s="70" t="s">
        <v>249</v>
      </c>
      <c r="AN96" s="65" t="s">
        <v>244</v>
      </c>
      <c r="AO96" s="65" t="s">
        <v>244</v>
      </c>
      <c r="AP96" s="71" t="s">
        <v>250</v>
      </c>
      <c r="AQ96" s="72" t="s">
        <v>251</v>
      </c>
      <c r="AR96" s="72" t="s">
        <v>252</v>
      </c>
      <c r="AS96" s="72" t="s">
        <v>250</v>
      </c>
      <c r="AT96" s="72"/>
      <c r="AU96" s="72"/>
    </row>
    <row r="97" spans="1:47" ht="33.75" x14ac:dyDescent="0.2">
      <c r="A97" s="44">
        <v>214</v>
      </c>
      <c r="B97" s="33" t="s">
        <v>90</v>
      </c>
      <c r="C97" s="33" t="s">
        <v>78</v>
      </c>
      <c r="D97" s="33" t="s">
        <v>375</v>
      </c>
      <c r="E97" s="33"/>
      <c r="F97" s="45" t="s">
        <v>374</v>
      </c>
      <c r="G97" s="45" t="s">
        <v>69</v>
      </c>
      <c r="H97" s="45" t="s">
        <v>28</v>
      </c>
      <c r="I97" s="75">
        <v>961643</v>
      </c>
      <c r="J97" s="195">
        <v>5</v>
      </c>
      <c r="K97" s="94">
        <v>3846572</v>
      </c>
      <c r="L97" s="59">
        <v>44981</v>
      </c>
      <c r="M97" s="58">
        <v>45105</v>
      </c>
      <c r="N97" s="80">
        <v>3846572</v>
      </c>
      <c r="O97" s="86"/>
      <c r="P97" s="86"/>
      <c r="Q97" s="78">
        <v>0</v>
      </c>
      <c r="R97" s="80">
        <v>3846572</v>
      </c>
      <c r="S97" s="87" t="s">
        <v>243</v>
      </c>
      <c r="T97" s="82" t="s">
        <v>373</v>
      </c>
      <c r="U97" s="88" t="s">
        <v>361</v>
      </c>
      <c r="V97" s="83" t="s">
        <v>244</v>
      </c>
      <c r="W97" s="84" t="s">
        <v>569</v>
      </c>
      <c r="X97" s="87">
        <v>80111600</v>
      </c>
      <c r="Y97" s="34" t="s">
        <v>516</v>
      </c>
      <c r="Z97" s="61">
        <v>44963</v>
      </c>
      <c r="AA97" s="61">
        <v>44985</v>
      </c>
      <c r="AB97" s="62">
        <v>5</v>
      </c>
      <c r="AC97" s="63" t="s">
        <v>241</v>
      </c>
      <c r="AD97" s="64" t="s">
        <v>242</v>
      </c>
      <c r="AE97" s="50">
        <v>3846572</v>
      </c>
      <c r="AF97" s="50">
        <v>3846572</v>
      </c>
      <c r="AG97" s="65" t="s">
        <v>244</v>
      </c>
      <c r="AH97" s="65" t="s">
        <v>245</v>
      </c>
      <c r="AI97" s="66" t="s">
        <v>246</v>
      </c>
      <c r="AJ97" s="67" t="s">
        <v>247</v>
      </c>
      <c r="AK97" s="68" t="s">
        <v>372</v>
      </c>
      <c r="AL97" s="69" t="s">
        <v>248</v>
      </c>
      <c r="AM97" s="70" t="s">
        <v>249</v>
      </c>
      <c r="AN97" s="65" t="s">
        <v>244</v>
      </c>
      <c r="AO97" s="65" t="s">
        <v>244</v>
      </c>
      <c r="AP97" s="71" t="s">
        <v>250</v>
      </c>
      <c r="AQ97" s="72" t="s">
        <v>251</v>
      </c>
      <c r="AR97" s="72" t="s">
        <v>252</v>
      </c>
      <c r="AS97" s="72" t="s">
        <v>250</v>
      </c>
      <c r="AT97" s="72"/>
      <c r="AU97" s="72"/>
    </row>
    <row r="98" spans="1:47" ht="33.75" x14ac:dyDescent="0.2">
      <c r="A98" s="44">
        <v>215</v>
      </c>
      <c r="B98" s="33" t="s">
        <v>90</v>
      </c>
      <c r="C98" s="33" t="s">
        <v>78</v>
      </c>
      <c r="D98" s="33" t="s">
        <v>375</v>
      </c>
      <c r="E98" s="33"/>
      <c r="F98" s="45" t="s">
        <v>374</v>
      </c>
      <c r="G98" s="45" t="s">
        <v>69</v>
      </c>
      <c r="H98" s="45" t="s">
        <v>28</v>
      </c>
      <c r="I98" s="75">
        <v>961643</v>
      </c>
      <c r="J98" s="195">
        <v>5</v>
      </c>
      <c r="K98" s="94">
        <v>3846572</v>
      </c>
      <c r="L98" s="59">
        <v>44981</v>
      </c>
      <c r="M98" s="58">
        <v>45105</v>
      </c>
      <c r="N98" s="80">
        <v>3846572</v>
      </c>
      <c r="O98" s="86"/>
      <c r="P98" s="86"/>
      <c r="Q98" s="78">
        <v>0</v>
      </c>
      <c r="R98" s="80">
        <v>3846572</v>
      </c>
      <c r="S98" s="87" t="s">
        <v>243</v>
      </c>
      <c r="T98" s="82" t="s">
        <v>373</v>
      </c>
      <c r="U98" s="88" t="s">
        <v>361</v>
      </c>
      <c r="V98" s="83" t="s">
        <v>244</v>
      </c>
      <c r="W98" s="84" t="s">
        <v>570</v>
      </c>
      <c r="X98" s="87">
        <v>80111600</v>
      </c>
      <c r="Y98" s="34" t="s">
        <v>516</v>
      </c>
      <c r="Z98" s="61">
        <v>44963</v>
      </c>
      <c r="AA98" s="61">
        <v>44985</v>
      </c>
      <c r="AB98" s="62">
        <v>5</v>
      </c>
      <c r="AC98" s="63" t="s">
        <v>241</v>
      </c>
      <c r="AD98" s="64" t="s">
        <v>242</v>
      </c>
      <c r="AE98" s="50">
        <v>3846572</v>
      </c>
      <c r="AF98" s="50">
        <v>3846572</v>
      </c>
      <c r="AG98" s="65" t="s">
        <v>244</v>
      </c>
      <c r="AH98" s="65" t="s">
        <v>245</v>
      </c>
      <c r="AI98" s="66" t="s">
        <v>246</v>
      </c>
      <c r="AJ98" s="67" t="s">
        <v>247</v>
      </c>
      <c r="AK98" s="68" t="s">
        <v>372</v>
      </c>
      <c r="AL98" s="69" t="s">
        <v>248</v>
      </c>
      <c r="AM98" s="70" t="s">
        <v>249</v>
      </c>
      <c r="AN98" s="65" t="s">
        <v>244</v>
      </c>
      <c r="AO98" s="65" t="s">
        <v>244</v>
      </c>
      <c r="AP98" s="71" t="s">
        <v>250</v>
      </c>
      <c r="AQ98" s="72" t="s">
        <v>251</v>
      </c>
      <c r="AR98" s="72" t="s">
        <v>252</v>
      </c>
      <c r="AS98" s="72" t="s">
        <v>250</v>
      </c>
      <c r="AT98" s="72"/>
      <c r="AU98" s="72"/>
    </row>
    <row r="99" spans="1:47" ht="33.75" x14ac:dyDescent="0.2">
      <c r="A99" s="44">
        <v>220</v>
      </c>
      <c r="B99" s="33" t="s">
        <v>90</v>
      </c>
      <c r="C99" s="33" t="s">
        <v>78</v>
      </c>
      <c r="D99" s="33" t="s">
        <v>375</v>
      </c>
      <c r="E99" s="33"/>
      <c r="F99" s="33" t="s">
        <v>374</v>
      </c>
      <c r="G99" s="45" t="s">
        <v>69</v>
      </c>
      <c r="H99" s="45" t="s">
        <v>28</v>
      </c>
      <c r="I99" s="95">
        <v>862004</v>
      </c>
      <c r="J99" s="200">
        <v>5</v>
      </c>
      <c r="K99" s="100">
        <v>4310020</v>
      </c>
      <c r="L99" s="97">
        <v>44971</v>
      </c>
      <c r="M99" s="98">
        <v>45097</v>
      </c>
      <c r="N99" s="201">
        <v>4310020</v>
      </c>
      <c r="O99" s="99"/>
      <c r="P99" s="99"/>
      <c r="Q99" s="201">
        <v>0</v>
      </c>
      <c r="R99" s="201">
        <v>4310020</v>
      </c>
      <c r="S99" s="202" t="s">
        <v>243</v>
      </c>
      <c r="T99" s="203" t="s">
        <v>373</v>
      </c>
      <c r="U99" s="204" t="s">
        <v>361</v>
      </c>
      <c r="V99" s="83" t="s">
        <v>244</v>
      </c>
      <c r="W99" s="84" t="s">
        <v>571</v>
      </c>
      <c r="X99" s="202">
        <v>80111600</v>
      </c>
      <c r="Y99" s="34" t="s">
        <v>516</v>
      </c>
      <c r="Z99" s="61">
        <v>44963</v>
      </c>
      <c r="AA99" s="61">
        <v>44963</v>
      </c>
      <c r="AB99" s="62">
        <v>5</v>
      </c>
      <c r="AC99" s="63" t="s">
        <v>241</v>
      </c>
      <c r="AD99" s="64" t="s">
        <v>242</v>
      </c>
      <c r="AE99" s="205">
        <v>4310020</v>
      </c>
      <c r="AF99" s="205">
        <v>4310020</v>
      </c>
      <c r="AG99" s="63" t="s">
        <v>244</v>
      </c>
      <c r="AH99" s="64" t="s">
        <v>245</v>
      </c>
      <c r="AI99" s="66" t="s">
        <v>246</v>
      </c>
      <c r="AJ99" s="67" t="s">
        <v>247</v>
      </c>
      <c r="AK99" s="68" t="s">
        <v>372</v>
      </c>
      <c r="AL99" s="69" t="s">
        <v>248</v>
      </c>
      <c r="AM99" s="70" t="s">
        <v>249</v>
      </c>
      <c r="AN99" s="65" t="s">
        <v>244</v>
      </c>
      <c r="AO99" s="65" t="s">
        <v>244</v>
      </c>
      <c r="AP99" s="71" t="s">
        <v>250</v>
      </c>
      <c r="AQ99" s="72" t="s">
        <v>251</v>
      </c>
      <c r="AR99" s="72" t="s">
        <v>252</v>
      </c>
      <c r="AS99" s="72" t="s">
        <v>250</v>
      </c>
      <c r="AT99" s="71"/>
      <c r="AU99" s="72"/>
    </row>
    <row r="100" spans="1:47" ht="33.75" x14ac:dyDescent="0.2">
      <c r="A100" s="44">
        <v>221</v>
      </c>
      <c r="B100" s="33" t="s">
        <v>90</v>
      </c>
      <c r="C100" s="33" t="s">
        <v>78</v>
      </c>
      <c r="D100" s="33" t="s">
        <v>375</v>
      </c>
      <c r="E100" s="33"/>
      <c r="F100" s="33" t="s">
        <v>374</v>
      </c>
      <c r="G100" s="45" t="s">
        <v>69</v>
      </c>
      <c r="H100" s="45" t="s">
        <v>28</v>
      </c>
      <c r="I100" s="95">
        <v>862004</v>
      </c>
      <c r="J100" s="195">
        <v>5</v>
      </c>
      <c r="K100" s="94">
        <v>4310020</v>
      </c>
      <c r="L100" s="97">
        <v>44971</v>
      </c>
      <c r="M100" s="98">
        <v>45097</v>
      </c>
      <c r="N100" s="201">
        <v>4310020</v>
      </c>
      <c r="O100" s="99"/>
      <c r="P100" s="99"/>
      <c r="Q100" s="201">
        <v>0</v>
      </c>
      <c r="R100" s="201">
        <v>4310020</v>
      </c>
      <c r="S100" s="202" t="s">
        <v>243</v>
      </c>
      <c r="T100" s="203" t="s">
        <v>373</v>
      </c>
      <c r="U100" s="204" t="s">
        <v>361</v>
      </c>
      <c r="V100" s="83" t="s">
        <v>244</v>
      </c>
      <c r="W100" s="84" t="s">
        <v>572</v>
      </c>
      <c r="X100" s="202">
        <v>80111600</v>
      </c>
      <c r="Y100" s="34" t="s">
        <v>516</v>
      </c>
      <c r="Z100" s="61">
        <v>44963</v>
      </c>
      <c r="AA100" s="61">
        <v>44963</v>
      </c>
      <c r="AB100" s="62">
        <v>5</v>
      </c>
      <c r="AC100" s="63" t="s">
        <v>241</v>
      </c>
      <c r="AD100" s="64" t="s">
        <v>242</v>
      </c>
      <c r="AE100" s="205">
        <v>4310020</v>
      </c>
      <c r="AF100" s="205">
        <v>4310020</v>
      </c>
      <c r="AG100" s="63" t="s">
        <v>244</v>
      </c>
      <c r="AH100" s="64" t="s">
        <v>245</v>
      </c>
      <c r="AI100" s="66" t="s">
        <v>246</v>
      </c>
      <c r="AJ100" s="67" t="s">
        <v>247</v>
      </c>
      <c r="AK100" s="68" t="s">
        <v>372</v>
      </c>
      <c r="AL100" s="69" t="s">
        <v>248</v>
      </c>
      <c r="AM100" s="70" t="s">
        <v>249</v>
      </c>
      <c r="AN100" s="65" t="s">
        <v>244</v>
      </c>
      <c r="AO100" s="65" t="s">
        <v>244</v>
      </c>
      <c r="AP100" s="71" t="s">
        <v>250</v>
      </c>
      <c r="AQ100" s="72" t="s">
        <v>251</v>
      </c>
      <c r="AR100" s="72" t="s">
        <v>252</v>
      </c>
      <c r="AS100" s="72" t="s">
        <v>250</v>
      </c>
      <c r="AT100" s="71"/>
      <c r="AU100" s="72"/>
    </row>
    <row r="101" spans="1:47" ht="33.75" x14ac:dyDescent="0.2">
      <c r="A101" s="44">
        <v>225</v>
      </c>
      <c r="B101" s="33" t="s">
        <v>90</v>
      </c>
      <c r="C101" s="33" t="s">
        <v>78</v>
      </c>
      <c r="D101" s="33" t="s">
        <v>375</v>
      </c>
      <c r="E101" s="33"/>
      <c r="F101" s="33" t="s">
        <v>374</v>
      </c>
      <c r="G101" s="45" t="s">
        <v>69</v>
      </c>
      <c r="H101" s="45" t="s">
        <v>28</v>
      </c>
      <c r="I101" s="75">
        <v>994855</v>
      </c>
      <c r="J101" s="200">
        <v>3</v>
      </c>
      <c r="K101" s="93">
        <v>2984565</v>
      </c>
      <c r="L101" s="97">
        <v>45006</v>
      </c>
      <c r="M101" s="98">
        <v>45103</v>
      </c>
      <c r="N101" s="78">
        <v>2984565</v>
      </c>
      <c r="O101" s="99"/>
      <c r="P101" s="99"/>
      <c r="Q101" s="201">
        <v>0</v>
      </c>
      <c r="R101" s="201">
        <f>N101</f>
        <v>2984565</v>
      </c>
      <c r="S101" s="202" t="s">
        <v>243</v>
      </c>
      <c r="T101" s="203" t="s">
        <v>373</v>
      </c>
      <c r="U101" s="204" t="s">
        <v>361</v>
      </c>
      <c r="V101" s="83" t="s">
        <v>244</v>
      </c>
      <c r="W101" s="84" t="s">
        <v>573</v>
      </c>
      <c r="X101" s="202">
        <v>80111600</v>
      </c>
      <c r="Y101" s="206" t="s">
        <v>516</v>
      </c>
      <c r="Z101" s="47" t="s">
        <v>264</v>
      </c>
      <c r="AA101" s="47" t="s">
        <v>264</v>
      </c>
      <c r="AB101" s="62">
        <v>3</v>
      </c>
      <c r="AC101" s="63" t="s">
        <v>241</v>
      </c>
      <c r="AD101" s="64" t="s">
        <v>242</v>
      </c>
      <c r="AE101" s="205">
        <f>R101</f>
        <v>2984565</v>
      </c>
      <c r="AF101" s="205">
        <f>R101</f>
        <v>2984565</v>
      </c>
      <c r="AG101" s="63" t="s">
        <v>244</v>
      </c>
      <c r="AH101" s="64" t="s">
        <v>245</v>
      </c>
      <c r="AI101" s="66" t="s">
        <v>246</v>
      </c>
      <c r="AJ101" s="67" t="s">
        <v>247</v>
      </c>
      <c r="AK101" s="68" t="s">
        <v>372</v>
      </c>
      <c r="AL101" s="69" t="s">
        <v>248</v>
      </c>
      <c r="AM101" s="70" t="s">
        <v>249</v>
      </c>
      <c r="AN101" s="65" t="s">
        <v>244</v>
      </c>
      <c r="AO101" s="65" t="s">
        <v>244</v>
      </c>
      <c r="AP101" s="71" t="s">
        <v>250</v>
      </c>
      <c r="AQ101" s="72" t="s">
        <v>251</v>
      </c>
      <c r="AR101" s="72" t="s">
        <v>252</v>
      </c>
      <c r="AS101" s="72" t="s">
        <v>250</v>
      </c>
      <c r="AT101" s="71"/>
      <c r="AU101" s="72"/>
    </row>
    <row r="102" spans="1:47" ht="33.75" x14ac:dyDescent="0.2">
      <c r="A102" s="44">
        <v>230</v>
      </c>
      <c r="B102" s="33" t="s">
        <v>90</v>
      </c>
      <c r="C102" s="33" t="s">
        <v>78</v>
      </c>
      <c r="D102" s="33" t="s">
        <v>375</v>
      </c>
      <c r="E102" s="33"/>
      <c r="F102" s="45" t="s">
        <v>374</v>
      </c>
      <c r="G102" s="45" t="s">
        <v>69</v>
      </c>
      <c r="H102" s="45" t="s">
        <v>28</v>
      </c>
      <c r="I102" s="95">
        <v>1659111</v>
      </c>
      <c r="J102" s="200">
        <v>2</v>
      </c>
      <c r="K102" s="100">
        <v>3318222</v>
      </c>
      <c r="L102" s="59">
        <v>45051</v>
      </c>
      <c r="M102" s="58">
        <v>45107</v>
      </c>
      <c r="N102" s="78">
        <v>3318222</v>
      </c>
      <c r="O102" s="59"/>
      <c r="P102" s="59"/>
      <c r="Q102" s="78">
        <v>0</v>
      </c>
      <c r="R102" s="80">
        <v>3318222</v>
      </c>
      <c r="S102" s="81" t="s">
        <v>243</v>
      </c>
      <c r="T102" s="82" t="s">
        <v>373</v>
      </c>
      <c r="U102" s="83" t="s">
        <v>361</v>
      </c>
      <c r="V102" s="83" t="s">
        <v>244</v>
      </c>
      <c r="W102" s="84" t="str">
        <f>"CON-"&amp;A102</f>
        <v>CON-230</v>
      </c>
      <c r="X102" s="87">
        <v>80111600</v>
      </c>
      <c r="Y102" s="34" t="s">
        <v>516</v>
      </c>
      <c r="Z102" s="61" t="s">
        <v>390</v>
      </c>
      <c r="AA102" s="61" t="s">
        <v>390</v>
      </c>
      <c r="AB102" s="62">
        <v>2</v>
      </c>
      <c r="AC102" s="63" t="s">
        <v>241</v>
      </c>
      <c r="AD102" s="64" t="s">
        <v>242</v>
      </c>
      <c r="AE102" s="129">
        <v>3318222</v>
      </c>
      <c r="AF102" s="129">
        <v>3318222</v>
      </c>
      <c r="AG102" s="65" t="s">
        <v>244</v>
      </c>
      <c r="AH102" s="65" t="s">
        <v>245</v>
      </c>
      <c r="AI102" s="66" t="s">
        <v>246</v>
      </c>
      <c r="AJ102" s="67" t="s">
        <v>247</v>
      </c>
      <c r="AK102" s="68" t="s">
        <v>372</v>
      </c>
      <c r="AL102" s="69" t="s">
        <v>248</v>
      </c>
      <c r="AM102" s="70" t="s">
        <v>249</v>
      </c>
      <c r="AN102" s="65" t="s">
        <v>244</v>
      </c>
      <c r="AO102" s="65" t="s">
        <v>244</v>
      </c>
      <c r="AP102" s="71" t="s">
        <v>250</v>
      </c>
      <c r="AQ102" s="72" t="s">
        <v>251</v>
      </c>
      <c r="AR102" s="72" t="s">
        <v>252</v>
      </c>
      <c r="AS102" s="72" t="s">
        <v>250</v>
      </c>
      <c r="AT102" s="71"/>
      <c r="AU102" s="72"/>
    </row>
    <row r="103" spans="1:47" ht="57.75" customHeight="1" x14ac:dyDescent="0.2">
      <c r="A103" s="207">
        <v>250</v>
      </c>
      <c r="B103" s="208" t="s">
        <v>90</v>
      </c>
      <c r="C103" s="208" t="s">
        <v>78</v>
      </c>
      <c r="D103" s="208" t="s">
        <v>375</v>
      </c>
      <c r="E103" s="208"/>
      <c r="F103" s="192" t="s">
        <v>374</v>
      </c>
      <c r="G103" s="192" t="s">
        <v>69</v>
      </c>
      <c r="H103" s="192" t="s">
        <v>28</v>
      </c>
      <c r="I103" s="175">
        <v>892399335</v>
      </c>
      <c r="J103" s="209">
        <v>4</v>
      </c>
      <c r="K103" s="210">
        <v>892399335</v>
      </c>
      <c r="L103" s="211">
        <v>45136</v>
      </c>
      <c r="M103" s="212">
        <v>45260</v>
      </c>
      <c r="N103" s="213">
        <v>892399335</v>
      </c>
      <c r="O103" s="214"/>
      <c r="P103" s="214"/>
      <c r="Q103" s="213">
        <v>0</v>
      </c>
      <c r="R103" s="215">
        <v>892399335</v>
      </c>
      <c r="S103" s="87" t="s">
        <v>243</v>
      </c>
      <c r="T103" s="82" t="s">
        <v>373</v>
      </c>
      <c r="U103" s="88" t="s">
        <v>361</v>
      </c>
      <c r="V103" s="88" t="s">
        <v>244</v>
      </c>
      <c r="W103" s="84" t="str">
        <f>"CLE-"&amp;A103</f>
        <v>CLE-250</v>
      </c>
      <c r="X103" s="87">
        <v>80111600</v>
      </c>
      <c r="Y103" s="34" t="s">
        <v>574</v>
      </c>
      <c r="Z103" s="61" t="s">
        <v>393</v>
      </c>
      <c r="AA103" s="61" t="s">
        <v>393</v>
      </c>
      <c r="AB103" s="62">
        <v>4</v>
      </c>
      <c r="AC103" s="63" t="s">
        <v>241</v>
      </c>
      <c r="AD103" s="64" t="s">
        <v>242</v>
      </c>
      <c r="AE103" s="50">
        <v>892399335</v>
      </c>
      <c r="AF103" s="50">
        <v>892399335</v>
      </c>
      <c r="AG103" s="65" t="s">
        <v>244</v>
      </c>
      <c r="AH103" s="65" t="s">
        <v>245</v>
      </c>
      <c r="AI103" s="66" t="s">
        <v>246</v>
      </c>
      <c r="AJ103" s="67" t="s">
        <v>247</v>
      </c>
      <c r="AK103" s="68" t="s">
        <v>372</v>
      </c>
      <c r="AL103" s="69" t="s">
        <v>248</v>
      </c>
      <c r="AM103" s="70" t="s">
        <v>249</v>
      </c>
      <c r="AN103" s="65" t="s">
        <v>244</v>
      </c>
      <c r="AO103" s="65" t="s">
        <v>361</v>
      </c>
      <c r="AP103" s="71" t="s">
        <v>250</v>
      </c>
      <c r="AQ103" s="72" t="s">
        <v>251</v>
      </c>
      <c r="AR103" s="72" t="s">
        <v>252</v>
      </c>
      <c r="AS103" s="72" t="s">
        <v>250</v>
      </c>
      <c r="AT103" s="72"/>
      <c r="AU103" s="72"/>
    </row>
    <row r="104" spans="1:47" ht="54" customHeight="1" x14ac:dyDescent="0.2">
      <c r="A104" s="216">
        <v>251</v>
      </c>
      <c r="B104" s="33" t="s">
        <v>90</v>
      </c>
      <c r="C104" s="33" t="s">
        <v>78</v>
      </c>
      <c r="D104" s="33" t="s">
        <v>375</v>
      </c>
      <c r="E104" s="33"/>
      <c r="F104" s="45" t="s">
        <v>374</v>
      </c>
      <c r="G104" s="45" t="s">
        <v>69</v>
      </c>
      <c r="H104" s="45" t="s">
        <v>28</v>
      </c>
      <c r="I104" s="75">
        <v>998049</v>
      </c>
      <c r="J104" s="195">
        <v>4</v>
      </c>
      <c r="K104" s="93">
        <v>3992196</v>
      </c>
      <c r="L104" s="59">
        <v>45136</v>
      </c>
      <c r="M104" s="58">
        <v>45260</v>
      </c>
      <c r="N104" s="78">
        <v>3992196</v>
      </c>
      <c r="O104" s="86"/>
      <c r="P104" s="86"/>
      <c r="Q104" s="78">
        <v>0</v>
      </c>
      <c r="R104" s="93">
        <v>3992196</v>
      </c>
      <c r="S104" s="87" t="s">
        <v>243</v>
      </c>
      <c r="T104" s="82" t="s">
        <v>373</v>
      </c>
      <c r="U104" s="88" t="s">
        <v>361</v>
      </c>
      <c r="V104" s="83" t="s">
        <v>244</v>
      </c>
      <c r="W104" s="84" t="str">
        <f t="shared" ref="W104:W167" si="3">"CLE-"&amp;A104</f>
        <v>CLE-251</v>
      </c>
      <c r="X104" s="87">
        <v>80111600</v>
      </c>
      <c r="Y104" s="34" t="s">
        <v>574</v>
      </c>
      <c r="Z104" s="61" t="s">
        <v>393</v>
      </c>
      <c r="AA104" s="61" t="s">
        <v>393</v>
      </c>
      <c r="AB104" s="62">
        <v>4</v>
      </c>
      <c r="AC104" s="63" t="s">
        <v>241</v>
      </c>
      <c r="AD104" s="64" t="s">
        <v>242</v>
      </c>
      <c r="AE104" s="50">
        <v>3992196</v>
      </c>
      <c r="AF104" s="50">
        <v>3992196</v>
      </c>
      <c r="AG104" s="65" t="s">
        <v>244</v>
      </c>
      <c r="AH104" s="65" t="s">
        <v>245</v>
      </c>
      <c r="AI104" s="66" t="s">
        <v>246</v>
      </c>
      <c r="AJ104" s="67" t="s">
        <v>247</v>
      </c>
      <c r="AK104" s="68" t="s">
        <v>372</v>
      </c>
      <c r="AL104" s="69" t="s">
        <v>248</v>
      </c>
      <c r="AM104" s="70" t="s">
        <v>249</v>
      </c>
      <c r="AN104" s="65" t="s">
        <v>244</v>
      </c>
      <c r="AO104" s="65" t="s">
        <v>244</v>
      </c>
      <c r="AP104" s="71" t="s">
        <v>250</v>
      </c>
      <c r="AQ104" s="72" t="s">
        <v>251</v>
      </c>
      <c r="AR104" s="72" t="s">
        <v>252</v>
      </c>
      <c r="AS104" s="72" t="s">
        <v>250</v>
      </c>
      <c r="AT104" s="72"/>
      <c r="AU104" s="72"/>
    </row>
    <row r="105" spans="1:47" ht="52.5" customHeight="1" x14ac:dyDescent="0.2">
      <c r="A105" s="216">
        <v>252</v>
      </c>
      <c r="B105" s="33" t="s">
        <v>90</v>
      </c>
      <c r="C105" s="33" t="s">
        <v>78</v>
      </c>
      <c r="D105" s="33" t="s">
        <v>375</v>
      </c>
      <c r="E105" s="33"/>
      <c r="F105" s="45" t="s">
        <v>374</v>
      </c>
      <c r="G105" s="45" t="s">
        <v>67</v>
      </c>
      <c r="H105" s="45" t="s">
        <v>28</v>
      </c>
      <c r="I105" s="75">
        <v>1186916</v>
      </c>
      <c r="J105" s="195">
        <v>4</v>
      </c>
      <c r="K105" s="93">
        <v>4747664</v>
      </c>
      <c r="L105" s="59">
        <v>45136</v>
      </c>
      <c r="M105" s="58">
        <v>45260</v>
      </c>
      <c r="N105" s="78">
        <v>4747664</v>
      </c>
      <c r="O105" s="86"/>
      <c r="P105" s="86"/>
      <c r="Q105" s="78">
        <v>0</v>
      </c>
      <c r="R105" s="93">
        <v>4747664</v>
      </c>
      <c r="S105" s="87" t="s">
        <v>243</v>
      </c>
      <c r="T105" s="82" t="s">
        <v>373</v>
      </c>
      <c r="U105" s="88" t="s">
        <v>361</v>
      </c>
      <c r="V105" s="83" t="s">
        <v>244</v>
      </c>
      <c r="W105" s="84" t="str">
        <f t="shared" si="3"/>
        <v>CLE-252</v>
      </c>
      <c r="X105" s="87">
        <v>80111600</v>
      </c>
      <c r="Y105" s="34" t="s">
        <v>574</v>
      </c>
      <c r="Z105" s="61" t="s">
        <v>393</v>
      </c>
      <c r="AA105" s="61" t="s">
        <v>393</v>
      </c>
      <c r="AB105" s="62">
        <v>4</v>
      </c>
      <c r="AC105" s="63" t="s">
        <v>241</v>
      </c>
      <c r="AD105" s="64" t="s">
        <v>242</v>
      </c>
      <c r="AE105" s="50">
        <v>4747664</v>
      </c>
      <c r="AF105" s="50">
        <v>4747664</v>
      </c>
      <c r="AG105" s="65" t="s">
        <v>244</v>
      </c>
      <c r="AH105" s="65" t="s">
        <v>245</v>
      </c>
      <c r="AI105" s="66" t="s">
        <v>246</v>
      </c>
      <c r="AJ105" s="67" t="s">
        <v>247</v>
      </c>
      <c r="AK105" s="68" t="s">
        <v>372</v>
      </c>
      <c r="AL105" s="69" t="s">
        <v>248</v>
      </c>
      <c r="AM105" s="70" t="s">
        <v>249</v>
      </c>
      <c r="AN105" s="65" t="s">
        <v>244</v>
      </c>
      <c r="AO105" s="65" t="s">
        <v>244</v>
      </c>
      <c r="AP105" s="71" t="s">
        <v>250</v>
      </c>
      <c r="AQ105" s="72" t="s">
        <v>251</v>
      </c>
      <c r="AR105" s="72" t="s">
        <v>252</v>
      </c>
      <c r="AS105" s="72" t="s">
        <v>250</v>
      </c>
      <c r="AT105" s="72"/>
      <c r="AU105" s="72"/>
    </row>
    <row r="106" spans="1:47" ht="61.5" customHeight="1" x14ac:dyDescent="0.2">
      <c r="A106" s="216">
        <v>253</v>
      </c>
      <c r="B106" s="33" t="s">
        <v>90</v>
      </c>
      <c r="C106" s="33" t="s">
        <v>78</v>
      </c>
      <c r="D106" s="33" t="s">
        <v>375</v>
      </c>
      <c r="E106" s="33"/>
      <c r="F106" s="45" t="s">
        <v>374</v>
      </c>
      <c r="G106" s="45" t="s">
        <v>67</v>
      </c>
      <c r="H106" s="45" t="s">
        <v>28</v>
      </c>
      <c r="I106" s="75">
        <v>1186916</v>
      </c>
      <c r="J106" s="195">
        <v>4</v>
      </c>
      <c r="K106" s="93">
        <v>4747664</v>
      </c>
      <c r="L106" s="59">
        <v>45136</v>
      </c>
      <c r="M106" s="58">
        <v>45260</v>
      </c>
      <c r="N106" s="78">
        <v>4747664</v>
      </c>
      <c r="O106" s="86"/>
      <c r="P106" s="86"/>
      <c r="Q106" s="78">
        <v>0</v>
      </c>
      <c r="R106" s="93">
        <v>4747664</v>
      </c>
      <c r="S106" s="87" t="s">
        <v>243</v>
      </c>
      <c r="T106" s="82" t="s">
        <v>373</v>
      </c>
      <c r="U106" s="88" t="s">
        <v>361</v>
      </c>
      <c r="V106" s="88" t="s">
        <v>244</v>
      </c>
      <c r="W106" s="84" t="str">
        <f t="shared" si="3"/>
        <v>CLE-253</v>
      </c>
      <c r="X106" s="87">
        <v>80111600</v>
      </c>
      <c r="Y106" s="34" t="s">
        <v>574</v>
      </c>
      <c r="Z106" s="61" t="s">
        <v>393</v>
      </c>
      <c r="AA106" s="61" t="s">
        <v>393</v>
      </c>
      <c r="AB106" s="62">
        <v>4</v>
      </c>
      <c r="AC106" s="63" t="s">
        <v>241</v>
      </c>
      <c r="AD106" s="64" t="s">
        <v>242</v>
      </c>
      <c r="AE106" s="50">
        <v>4747664</v>
      </c>
      <c r="AF106" s="50">
        <v>4747664</v>
      </c>
      <c r="AG106" s="65" t="s">
        <v>244</v>
      </c>
      <c r="AH106" s="65" t="s">
        <v>245</v>
      </c>
      <c r="AI106" s="66" t="s">
        <v>246</v>
      </c>
      <c r="AJ106" s="67" t="s">
        <v>247</v>
      </c>
      <c r="AK106" s="68" t="s">
        <v>372</v>
      </c>
      <c r="AL106" s="69" t="s">
        <v>248</v>
      </c>
      <c r="AM106" s="70" t="s">
        <v>249</v>
      </c>
      <c r="AN106" s="65" t="s">
        <v>244</v>
      </c>
      <c r="AO106" s="65" t="s">
        <v>244</v>
      </c>
      <c r="AP106" s="71" t="s">
        <v>250</v>
      </c>
      <c r="AQ106" s="72" t="s">
        <v>251</v>
      </c>
      <c r="AR106" s="72" t="s">
        <v>252</v>
      </c>
      <c r="AS106" s="72" t="s">
        <v>250</v>
      </c>
      <c r="AT106" s="72"/>
      <c r="AU106" s="72"/>
    </row>
    <row r="107" spans="1:47" ht="53.25" customHeight="1" x14ac:dyDescent="0.2">
      <c r="A107" s="216">
        <v>254</v>
      </c>
      <c r="B107" s="33" t="s">
        <v>90</v>
      </c>
      <c r="C107" s="33" t="s">
        <v>78</v>
      </c>
      <c r="D107" s="33" t="s">
        <v>375</v>
      </c>
      <c r="E107" s="33"/>
      <c r="F107" s="45" t="s">
        <v>374</v>
      </c>
      <c r="G107" s="45" t="s">
        <v>69</v>
      </c>
      <c r="H107" s="45" t="s">
        <v>28</v>
      </c>
      <c r="I107" s="75">
        <v>998049</v>
      </c>
      <c r="J107" s="195">
        <v>4</v>
      </c>
      <c r="K107" s="93">
        <v>3992196</v>
      </c>
      <c r="L107" s="59">
        <v>45136</v>
      </c>
      <c r="M107" s="58">
        <v>45260</v>
      </c>
      <c r="N107" s="78">
        <v>3992196</v>
      </c>
      <c r="O107" s="86"/>
      <c r="P107" s="86"/>
      <c r="Q107" s="78">
        <v>0</v>
      </c>
      <c r="R107" s="93">
        <v>3992196</v>
      </c>
      <c r="S107" s="87" t="s">
        <v>243</v>
      </c>
      <c r="T107" s="82" t="s">
        <v>373</v>
      </c>
      <c r="U107" s="88" t="s">
        <v>361</v>
      </c>
      <c r="V107" s="88" t="s">
        <v>244</v>
      </c>
      <c r="W107" s="84" t="str">
        <f t="shared" si="3"/>
        <v>CLE-254</v>
      </c>
      <c r="X107" s="87">
        <v>80111600</v>
      </c>
      <c r="Y107" s="34" t="s">
        <v>574</v>
      </c>
      <c r="Z107" s="61" t="s">
        <v>393</v>
      </c>
      <c r="AA107" s="61" t="s">
        <v>393</v>
      </c>
      <c r="AB107" s="62">
        <v>4</v>
      </c>
      <c r="AC107" s="63" t="s">
        <v>241</v>
      </c>
      <c r="AD107" s="64" t="s">
        <v>242</v>
      </c>
      <c r="AE107" s="50">
        <v>3992196</v>
      </c>
      <c r="AF107" s="50">
        <v>3992196</v>
      </c>
      <c r="AG107" s="65" t="s">
        <v>244</v>
      </c>
      <c r="AH107" s="65" t="s">
        <v>245</v>
      </c>
      <c r="AI107" s="66" t="s">
        <v>246</v>
      </c>
      <c r="AJ107" s="67" t="s">
        <v>247</v>
      </c>
      <c r="AK107" s="68" t="s">
        <v>372</v>
      </c>
      <c r="AL107" s="69" t="s">
        <v>248</v>
      </c>
      <c r="AM107" s="70" t="s">
        <v>249</v>
      </c>
      <c r="AN107" s="65" t="s">
        <v>244</v>
      </c>
      <c r="AO107" s="65" t="s">
        <v>244</v>
      </c>
      <c r="AP107" s="71" t="s">
        <v>250</v>
      </c>
      <c r="AQ107" s="72" t="s">
        <v>251</v>
      </c>
      <c r="AR107" s="72" t="s">
        <v>252</v>
      </c>
      <c r="AS107" s="72" t="s">
        <v>250</v>
      </c>
      <c r="AT107" s="72"/>
      <c r="AU107" s="72"/>
    </row>
    <row r="108" spans="1:47" ht="56.25" customHeight="1" x14ac:dyDescent="0.2">
      <c r="A108" s="216">
        <v>255</v>
      </c>
      <c r="B108" s="33" t="s">
        <v>90</v>
      </c>
      <c r="C108" s="33" t="s">
        <v>78</v>
      </c>
      <c r="D108" s="33" t="s">
        <v>375</v>
      </c>
      <c r="E108" s="33"/>
      <c r="F108" s="45" t="s">
        <v>374</v>
      </c>
      <c r="G108" s="45" t="s">
        <v>69</v>
      </c>
      <c r="H108" s="45" t="s">
        <v>28</v>
      </c>
      <c r="I108" s="75">
        <v>998049</v>
      </c>
      <c r="J108" s="195">
        <v>4</v>
      </c>
      <c r="K108" s="93">
        <v>3992196</v>
      </c>
      <c r="L108" s="59">
        <v>45136</v>
      </c>
      <c r="M108" s="58">
        <v>45260</v>
      </c>
      <c r="N108" s="78">
        <v>3992196</v>
      </c>
      <c r="O108" s="86"/>
      <c r="P108" s="86"/>
      <c r="Q108" s="78">
        <v>0</v>
      </c>
      <c r="R108" s="93">
        <v>3992196</v>
      </c>
      <c r="S108" s="87" t="s">
        <v>243</v>
      </c>
      <c r="T108" s="199" t="s">
        <v>15</v>
      </c>
      <c r="U108" s="88" t="s">
        <v>361</v>
      </c>
      <c r="V108" s="88" t="s">
        <v>244</v>
      </c>
      <c r="W108" s="84" t="str">
        <f t="shared" si="3"/>
        <v>CLE-255</v>
      </c>
      <c r="X108" s="87">
        <v>80111600</v>
      </c>
      <c r="Y108" s="34" t="s">
        <v>574</v>
      </c>
      <c r="Z108" s="61" t="s">
        <v>393</v>
      </c>
      <c r="AA108" s="61" t="s">
        <v>393</v>
      </c>
      <c r="AB108" s="62">
        <v>4</v>
      </c>
      <c r="AC108" s="63" t="s">
        <v>241</v>
      </c>
      <c r="AD108" s="64" t="s">
        <v>242</v>
      </c>
      <c r="AE108" s="50">
        <v>3992196</v>
      </c>
      <c r="AF108" s="50">
        <v>3992196</v>
      </c>
      <c r="AG108" s="65" t="s">
        <v>244</v>
      </c>
      <c r="AH108" s="65" t="s">
        <v>245</v>
      </c>
      <c r="AI108" s="66" t="s">
        <v>246</v>
      </c>
      <c r="AJ108" s="67" t="s">
        <v>247</v>
      </c>
      <c r="AK108" s="68" t="s">
        <v>372</v>
      </c>
      <c r="AL108" s="69" t="s">
        <v>248</v>
      </c>
      <c r="AM108" s="70" t="s">
        <v>249</v>
      </c>
      <c r="AN108" s="65" t="s">
        <v>244</v>
      </c>
      <c r="AO108" s="65" t="s">
        <v>244</v>
      </c>
      <c r="AP108" s="71" t="s">
        <v>250</v>
      </c>
      <c r="AQ108" s="72" t="s">
        <v>251</v>
      </c>
      <c r="AR108" s="72" t="s">
        <v>252</v>
      </c>
      <c r="AS108" s="72" t="s">
        <v>250</v>
      </c>
      <c r="AT108" s="72"/>
      <c r="AU108" s="72"/>
    </row>
    <row r="109" spans="1:47" ht="57.75" customHeight="1" x14ac:dyDescent="0.2">
      <c r="A109" s="216">
        <v>256</v>
      </c>
      <c r="B109" s="33" t="s">
        <v>90</v>
      </c>
      <c r="C109" s="33" t="s">
        <v>78</v>
      </c>
      <c r="D109" s="33" t="s">
        <v>375</v>
      </c>
      <c r="E109" s="33"/>
      <c r="F109" s="45" t="s">
        <v>374</v>
      </c>
      <c r="G109" s="45" t="s">
        <v>67</v>
      </c>
      <c r="H109" s="45" t="s">
        <v>28</v>
      </c>
      <c r="I109" s="75">
        <v>1186916</v>
      </c>
      <c r="J109" s="195">
        <v>4</v>
      </c>
      <c r="K109" s="93">
        <v>4747664</v>
      </c>
      <c r="L109" s="59">
        <v>45136</v>
      </c>
      <c r="M109" s="58">
        <v>45260</v>
      </c>
      <c r="N109" s="78">
        <v>4747664</v>
      </c>
      <c r="O109" s="86"/>
      <c r="P109" s="86"/>
      <c r="Q109" s="78">
        <v>0</v>
      </c>
      <c r="R109" s="93">
        <v>4747664</v>
      </c>
      <c r="S109" s="87" t="s">
        <v>243</v>
      </c>
      <c r="T109" s="82" t="s">
        <v>373</v>
      </c>
      <c r="U109" s="88" t="s">
        <v>361</v>
      </c>
      <c r="V109" s="88" t="s">
        <v>244</v>
      </c>
      <c r="W109" s="84" t="str">
        <f t="shared" si="3"/>
        <v>CLE-256</v>
      </c>
      <c r="X109" s="87">
        <v>80111600</v>
      </c>
      <c r="Y109" s="34" t="s">
        <v>574</v>
      </c>
      <c r="Z109" s="61" t="s">
        <v>393</v>
      </c>
      <c r="AA109" s="61" t="s">
        <v>393</v>
      </c>
      <c r="AB109" s="62">
        <v>4</v>
      </c>
      <c r="AC109" s="63" t="s">
        <v>241</v>
      </c>
      <c r="AD109" s="64" t="s">
        <v>242</v>
      </c>
      <c r="AE109" s="50">
        <v>4747664</v>
      </c>
      <c r="AF109" s="50">
        <v>4747664</v>
      </c>
      <c r="AG109" s="65" t="s">
        <v>244</v>
      </c>
      <c r="AH109" s="65" t="s">
        <v>245</v>
      </c>
      <c r="AI109" s="66" t="s">
        <v>246</v>
      </c>
      <c r="AJ109" s="67" t="s">
        <v>247</v>
      </c>
      <c r="AK109" s="68" t="s">
        <v>372</v>
      </c>
      <c r="AL109" s="69" t="s">
        <v>248</v>
      </c>
      <c r="AM109" s="70" t="s">
        <v>249</v>
      </c>
      <c r="AN109" s="65" t="s">
        <v>244</v>
      </c>
      <c r="AO109" s="65" t="s">
        <v>244</v>
      </c>
      <c r="AP109" s="71" t="s">
        <v>250</v>
      </c>
      <c r="AQ109" s="72" t="s">
        <v>251</v>
      </c>
      <c r="AR109" s="72" t="s">
        <v>252</v>
      </c>
      <c r="AS109" s="72" t="s">
        <v>250</v>
      </c>
      <c r="AT109" s="72"/>
      <c r="AU109" s="72"/>
    </row>
    <row r="110" spans="1:47" ht="33.75" x14ac:dyDescent="0.2">
      <c r="A110" s="216">
        <v>257</v>
      </c>
      <c r="B110" s="33" t="s">
        <v>90</v>
      </c>
      <c r="C110" s="33" t="s">
        <v>78</v>
      </c>
      <c r="D110" s="33" t="s">
        <v>375</v>
      </c>
      <c r="E110" s="33"/>
      <c r="F110" s="45" t="s">
        <v>374</v>
      </c>
      <c r="G110" s="45" t="s">
        <v>69</v>
      </c>
      <c r="H110" s="45" t="s">
        <v>28</v>
      </c>
      <c r="I110" s="75">
        <v>998049</v>
      </c>
      <c r="J110" s="195">
        <v>4</v>
      </c>
      <c r="K110" s="93">
        <v>3992196</v>
      </c>
      <c r="L110" s="59">
        <v>45136</v>
      </c>
      <c r="M110" s="58">
        <v>45260</v>
      </c>
      <c r="N110" s="80">
        <v>3992196</v>
      </c>
      <c r="O110" s="86"/>
      <c r="P110" s="86"/>
      <c r="Q110" s="78">
        <v>0</v>
      </c>
      <c r="R110" s="93">
        <v>3992196</v>
      </c>
      <c r="S110" s="87" t="s">
        <v>243</v>
      </c>
      <c r="T110" s="82" t="s">
        <v>373</v>
      </c>
      <c r="U110" s="88" t="s">
        <v>361</v>
      </c>
      <c r="V110" s="83" t="s">
        <v>244</v>
      </c>
      <c r="W110" s="84" t="str">
        <f t="shared" si="3"/>
        <v>CLE-257</v>
      </c>
      <c r="X110" s="87">
        <v>80111600</v>
      </c>
      <c r="Y110" s="34" t="s">
        <v>574</v>
      </c>
      <c r="Z110" s="61" t="s">
        <v>393</v>
      </c>
      <c r="AA110" s="61" t="s">
        <v>393</v>
      </c>
      <c r="AB110" s="62">
        <v>4</v>
      </c>
      <c r="AC110" s="63" t="s">
        <v>241</v>
      </c>
      <c r="AD110" s="64" t="s">
        <v>242</v>
      </c>
      <c r="AE110" s="50">
        <v>3992196</v>
      </c>
      <c r="AF110" s="50">
        <v>3992196</v>
      </c>
      <c r="AG110" s="65" t="s">
        <v>244</v>
      </c>
      <c r="AH110" s="65" t="s">
        <v>245</v>
      </c>
      <c r="AI110" s="66" t="s">
        <v>246</v>
      </c>
      <c r="AJ110" s="67" t="s">
        <v>247</v>
      </c>
      <c r="AK110" s="68" t="s">
        <v>372</v>
      </c>
      <c r="AL110" s="69" t="s">
        <v>248</v>
      </c>
      <c r="AM110" s="70" t="s">
        <v>249</v>
      </c>
      <c r="AN110" s="65" t="s">
        <v>244</v>
      </c>
      <c r="AO110" s="65" t="s">
        <v>244</v>
      </c>
      <c r="AP110" s="71" t="s">
        <v>250</v>
      </c>
      <c r="AQ110" s="72" t="s">
        <v>251</v>
      </c>
      <c r="AR110" s="72" t="s">
        <v>252</v>
      </c>
      <c r="AS110" s="72" t="s">
        <v>250</v>
      </c>
      <c r="AT110" s="72"/>
      <c r="AU110" s="72"/>
    </row>
    <row r="111" spans="1:47" ht="33.75" x14ac:dyDescent="0.2">
      <c r="A111" s="216">
        <v>258</v>
      </c>
      <c r="B111" s="33" t="s">
        <v>90</v>
      </c>
      <c r="C111" s="33" t="s">
        <v>78</v>
      </c>
      <c r="D111" s="33" t="s">
        <v>375</v>
      </c>
      <c r="E111" s="33"/>
      <c r="F111" s="45" t="s">
        <v>374</v>
      </c>
      <c r="G111" s="45" t="s">
        <v>67</v>
      </c>
      <c r="H111" s="45" t="s">
        <v>28</v>
      </c>
      <c r="I111" s="75">
        <v>1186916</v>
      </c>
      <c r="J111" s="195">
        <v>4</v>
      </c>
      <c r="K111" s="94">
        <v>4747664</v>
      </c>
      <c r="L111" s="59">
        <v>45136</v>
      </c>
      <c r="M111" s="58">
        <v>45260</v>
      </c>
      <c r="N111" s="80">
        <v>4747664</v>
      </c>
      <c r="O111" s="86"/>
      <c r="P111" s="86"/>
      <c r="Q111" s="78">
        <v>0</v>
      </c>
      <c r="R111" s="93">
        <v>4747664</v>
      </c>
      <c r="S111" s="87" t="s">
        <v>243</v>
      </c>
      <c r="T111" s="82" t="s">
        <v>373</v>
      </c>
      <c r="U111" s="88" t="s">
        <v>361</v>
      </c>
      <c r="V111" s="83" t="s">
        <v>244</v>
      </c>
      <c r="W111" s="84" t="str">
        <f t="shared" si="3"/>
        <v>CLE-258</v>
      </c>
      <c r="X111" s="87">
        <v>80111600</v>
      </c>
      <c r="Y111" s="34" t="s">
        <v>574</v>
      </c>
      <c r="Z111" s="61" t="s">
        <v>393</v>
      </c>
      <c r="AA111" s="61" t="s">
        <v>393</v>
      </c>
      <c r="AB111" s="62">
        <v>4</v>
      </c>
      <c r="AC111" s="63" t="s">
        <v>241</v>
      </c>
      <c r="AD111" s="64" t="s">
        <v>242</v>
      </c>
      <c r="AE111" s="50">
        <v>4747664</v>
      </c>
      <c r="AF111" s="50">
        <v>4747664</v>
      </c>
      <c r="AG111" s="65" t="s">
        <v>244</v>
      </c>
      <c r="AH111" s="65" t="s">
        <v>245</v>
      </c>
      <c r="AI111" s="66" t="s">
        <v>246</v>
      </c>
      <c r="AJ111" s="67" t="s">
        <v>247</v>
      </c>
      <c r="AK111" s="68" t="s">
        <v>372</v>
      </c>
      <c r="AL111" s="69" t="s">
        <v>248</v>
      </c>
      <c r="AM111" s="70" t="s">
        <v>249</v>
      </c>
      <c r="AN111" s="65" t="s">
        <v>244</v>
      </c>
      <c r="AO111" s="65" t="s">
        <v>244</v>
      </c>
      <c r="AP111" s="71" t="s">
        <v>250</v>
      </c>
      <c r="AQ111" s="72" t="s">
        <v>251</v>
      </c>
      <c r="AR111" s="72" t="s">
        <v>252</v>
      </c>
      <c r="AS111" s="72" t="s">
        <v>250</v>
      </c>
      <c r="AT111" s="72"/>
      <c r="AU111" s="72"/>
    </row>
    <row r="112" spans="1:47" ht="33.75" x14ac:dyDescent="0.2">
      <c r="A112" s="216">
        <v>259</v>
      </c>
      <c r="B112" s="33" t="s">
        <v>90</v>
      </c>
      <c r="C112" s="33" t="s">
        <v>78</v>
      </c>
      <c r="D112" s="33" t="s">
        <v>375</v>
      </c>
      <c r="E112" s="33"/>
      <c r="F112" s="45" t="s">
        <v>374</v>
      </c>
      <c r="G112" s="45" t="s">
        <v>67</v>
      </c>
      <c r="H112" s="45" t="s">
        <v>28</v>
      </c>
      <c r="I112" s="75">
        <v>1186916</v>
      </c>
      <c r="J112" s="195">
        <v>4</v>
      </c>
      <c r="K112" s="94">
        <v>4747664</v>
      </c>
      <c r="L112" s="59">
        <v>45136</v>
      </c>
      <c r="M112" s="58">
        <v>45260</v>
      </c>
      <c r="N112" s="80">
        <v>4747664</v>
      </c>
      <c r="O112" s="86"/>
      <c r="P112" s="86"/>
      <c r="Q112" s="78">
        <v>0</v>
      </c>
      <c r="R112" s="93">
        <v>4747664</v>
      </c>
      <c r="S112" s="87" t="s">
        <v>243</v>
      </c>
      <c r="T112" s="82" t="s">
        <v>373</v>
      </c>
      <c r="U112" s="88" t="s">
        <v>361</v>
      </c>
      <c r="V112" s="83" t="s">
        <v>244</v>
      </c>
      <c r="W112" s="84" t="str">
        <f t="shared" si="3"/>
        <v>CLE-259</v>
      </c>
      <c r="X112" s="87">
        <v>80111600</v>
      </c>
      <c r="Y112" s="34" t="s">
        <v>574</v>
      </c>
      <c r="Z112" s="61" t="s">
        <v>393</v>
      </c>
      <c r="AA112" s="61" t="s">
        <v>393</v>
      </c>
      <c r="AB112" s="62">
        <v>4</v>
      </c>
      <c r="AC112" s="63" t="s">
        <v>241</v>
      </c>
      <c r="AD112" s="64" t="s">
        <v>242</v>
      </c>
      <c r="AE112" s="50">
        <v>4747664</v>
      </c>
      <c r="AF112" s="50">
        <v>4747664</v>
      </c>
      <c r="AG112" s="65" t="s">
        <v>244</v>
      </c>
      <c r="AH112" s="65" t="s">
        <v>245</v>
      </c>
      <c r="AI112" s="66" t="s">
        <v>246</v>
      </c>
      <c r="AJ112" s="67" t="s">
        <v>247</v>
      </c>
      <c r="AK112" s="68" t="s">
        <v>372</v>
      </c>
      <c r="AL112" s="69" t="s">
        <v>248</v>
      </c>
      <c r="AM112" s="70" t="s">
        <v>249</v>
      </c>
      <c r="AN112" s="65" t="s">
        <v>244</v>
      </c>
      <c r="AO112" s="65" t="s">
        <v>244</v>
      </c>
      <c r="AP112" s="71" t="s">
        <v>250</v>
      </c>
      <c r="AQ112" s="72" t="s">
        <v>251</v>
      </c>
      <c r="AR112" s="72" t="s">
        <v>252</v>
      </c>
      <c r="AS112" s="72" t="s">
        <v>250</v>
      </c>
      <c r="AT112" s="72"/>
      <c r="AU112" s="72"/>
    </row>
    <row r="113" spans="1:47" ht="33.75" x14ac:dyDescent="0.2">
      <c r="A113" s="216">
        <v>260</v>
      </c>
      <c r="B113" s="33" t="s">
        <v>90</v>
      </c>
      <c r="C113" s="33" t="s">
        <v>78</v>
      </c>
      <c r="D113" s="33" t="s">
        <v>375</v>
      </c>
      <c r="E113" s="33"/>
      <c r="F113" s="45" t="s">
        <v>374</v>
      </c>
      <c r="G113" s="45" t="s">
        <v>67</v>
      </c>
      <c r="H113" s="45" t="s">
        <v>28</v>
      </c>
      <c r="I113" s="75">
        <v>1186916</v>
      </c>
      <c r="J113" s="195">
        <v>4</v>
      </c>
      <c r="K113" s="94">
        <v>4747664</v>
      </c>
      <c r="L113" s="59">
        <v>45136</v>
      </c>
      <c r="M113" s="58">
        <v>45260</v>
      </c>
      <c r="N113" s="80">
        <v>4747664</v>
      </c>
      <c r="O113" s="86"/>
      <c r="P113" s="86"/>
      <c r="Q113" s="78">
        <v>0</v>
      </c>
      <c r="R113" s="93">
        <v>4747664</v>
      </c>
      <c r="S113" s="87" t="s">
        <v>243</v>
      </c>
      <c r="T113" s="82" t="s">
        <v>373</v>
      </c>
      <c r="U113" s="88" t="s">
        <v>361</v>
      </c>
      <c r="V113" s="83" t="s">
        <v>244</v>
      </c>
      <c r="W113" s="84" t="str">
        <f t="shared" si="3"/>
        <v>CLE-260</v>
      </c>
      <c r="X113" s="87">
        <v>80111600</v>
      </c>
      <c r="Y113" s="34" t="s">
        <v>574</v>
      </c>
      <c r="Z113" s="61" t="s">
        <v>393</v>
      </c>
      <c r="AA113" s="61" t="s">
        <v>393</v>
      </c>
      <c r="AB113" s="62">
        <v>4</v>
      </c>
      <c r="AC113" s="63" t="s">
        <v>241</v>
      </c>
      <c r="AD113" s="64" t="s">
        <v>242</v>
      </c>
      <c r="AE113" s="50">
        <v>4747664</v>
      </c>
      <c r="AF113" s="50">
        <v>4747664</v>
      </c>
      <c r="AG113" s="65" t="s">
        <v>244</v>
      </c>
      <c r="AH113" s="65" t="s">
        <v>245</v>
      </c>
      <c r="AI113" s="66" t="s">
        <v>246</v>
      </c>
      <c r="AJ113" s="67" t="s">
        <v>247</v>
      </c>
      <c r="AK113" s="68" t="s">
        <v>372</v>
      </c>
      <c r="AL113" s="69" t="s">
        <v>248</v>
      </c>
      <c r="AM113" s="70" t="s">
        <v>249</v>
      </c>
      <c r="AN113" s="65" t="s">
        <v>244</v>
      </c>
      <c r="AO113" s="65" t="s">
        <v>244</v>
      </c>
      <c r="AP113" s="71" t="s">
        <v>250</v>
      </c>
      <c r="AQ113" s="72" t="s">
        <v>251</v>
      </c>
      <c r="AR113" s="72" t="s">
        <v>252</v>
      </c>
      <c r="AS113" s="72" t="s">
        <v>250</v>
      </c>
      <c r="AT113" s="72"/>
      <c r="AU113" s="72"/>
    </row>
    <row r="114" spans="1:47" ht="33.75" x14ac:dyDescent="0.2">
      <c r="A114" s="216">
        <v>261</v>
      </c>
      <c r="B114" s="33" t="s">
        <v>90</v>
      </c>
      <c r="C114" s="33" t="s">
        <v>78</v>
      </c>
      <c r="D114" s="33" t="s">
        <v>375</v>
      </c>
      <c r="E114" s="33"/>
      <c r="F114" s="45" t="s">
        <v>374</v>
      </c>
      <c r="G114" s="45" t="s">
        <v>69</v>
      </c>
      <c r="H114" s="45" t="s">
        <v>28</v>
      </c>
      <c r="I114" s="75">
        <v>998049</v>
      </c>
      <c r="J114" s="195">
        <v>4</v>
      </c>
      <c r="K114" s="94">
        <v>3992196</v>
      </c>
      <c r="L114" s="59">
        <v>45136</v>
      </c>
      <c r="M114" s="58">
        <v>45260</v>
      </c>
      <c r="N114" s="80">
        <v>3992196</v>
      </c>
      <c r="O114" s="86"/>
      <c r="P114" s="86"/>
      <c r="Q114" s="78">
        <v>0</v>
      </c>
      <c r="R114" s="93">
        <v>3992196</v>
      </c>
      <c r="S114" s="87" t="s">
        <v>243</v>
      </c>
      <c r="T114" s="82" t="s">
        <v>373</v>
      </c>
      <c r="U114" s="88" t="s">
        <v>361</v>
      </c>
      <c r="V114" s="83" t="s">
        <v>244</v>
      </c>
      <c r="W114" s="84" t="str">
        <f t="shared" si="3"/>
        <v>CLE-261</v>
      </c>
      <c r="X114" s="87">
        <v>80111600</v>
      </c>
      <c r="Y114" s="34" t="s">
        <v>574</v>
      </c>
      <c r="Z114" s="61" t="s">
        <v>393</v>
      </c>
      <c r="AA114" s="61" t="s">
        <v>393</v>
      </c>
      <c r="AB114" s="62">
        <v>4</v>
      </c>
      <c r="AC114" s="63" t="s">
        <v>241</v>
      </c>
      <c r="AD114" s="64" t="s">
        <v>242</v>
      </c>
      <c r="AE114" s="50">
        <v>3992196</v>
      </c>
      <c r="AF114" s="50">
        <v>3992196</v>
      </c>
      <c r="AG114" s="65" t="s">
        <v>244</v>
      </c>
      <c r="AH114" s="65" t="s">
        <v>245</v>
      </c>
      <c r="AI114" s="66" t="s">
        <v>246</v>
      </c>
      <c r="AJ114" s="67" t="s">
        <v>247</v>
      </c>
      <c r="AK114" s="68" t="s">
        <v>372</v>
      </c>
      <c r="AL114" s="69" t="s">
        <v>248</v>
      </c>
      <c r="AM114" s="70" t="s">
        <v>249</v>
      </c>
      <c r="AN114" s="65" t="s">
        <v>244</v>
      </c>
      <c r="AO114" s="65" t="s">
        <v>244</v>
      </c>
      <c r="AP114" s="71" t="s">
        <v>250</v>
      </c>
      <c r="AQ114" s="72" t="s">
        <v>251</v>
      </c>
      <c r="AR114" s="72" t="s">
        <v>252</v>
      </c>
      <c r="AS114" s="72" t="s">
        <v>250</v>
      </c>
      <c r="AT114" s="72"/>
      <c r="AU114" s="72"/>
    </row>
    <row r="115" spans="1:47" ht="33.75" x14ac:dyDescent="0.2">
      <c r="A115" s="216">
        <v>262</v>
      </c>
      <c r="B115" s="33" t="s">
        <v>90</v>
      </c>
      <c r="C115" s="33" t="s">
        <v>78</v>
      </c>
      <c r="D115" s="33" t="s">
        <v>375</v>
      </c>
      <c r="E115" s="33"/>
      <c r="F115" s="45" t="s">
        <v>374</v>
      </c>
      <c r="G115" s="45" t="s">
        <v>67</v>
      </c>
      <c r="H115" s="45" t="s">
        <v>28</v>
      </c>
      <c r="I115" s="75">
        <v>1186916</v>
      </c>
      <c r="J115" s="195">
        <v>4</v>
      </c>
      <c r="K115" s="94">
        <v>4747664</v>
      </c>
      <c r="L115" s="59">
        <v>45136</v>
      </c>
      <c r="M115" s="58">
        <v>45260</v>
      </c>
      <c r="N115" s="80">
        <v>4747664</v>
      </c>
      <c r="O115" s="86"/>
      <c r="P115" s="86"/>
      <c r="Q115" s="78">
        <v>0</v>
      </c>
      <c r="R115" s="93">
        <v>4747664</v>
      </c>
      <c r="S115" s="87" t="s">
        <v>243</v>
      </c>
      <c r="T115" s="82" t="s">
        <v>373</v>
      </c>
      <c r="U115" s="88" t="s">
        <v>361</v>
      </c>
      <c r="V115" s="83" t="s">
        <v>244</v>
      </c>
      <c r="W115" s="84" t="str">
        <f t="shared" si="3"/>
        <v>CLE-262</v>
      </c>
      <c r="X115" s="87">
        <v>80111600</v>
      </c>
      <c r="Y115" s="34" t="s">
        <v>574</v>
      </c>
      <c r="Z115" s="61" t="s">
        <v>393</v>
      </c>
      <c r="AA115" s="61" t="s">
        <v>393</v>
      </c>
      <c r="AB115" s="62">
        <v>4</v>
      </c>
      <c r="AC115" s="63" t="s">
        <v>241</v>
      </c>
      <c r="AD115" s="64" t="s">
        <v>242</v>
      </c>
      <c r="AE115" s="50">
        <v>4747664</v>
      </c>
      <c r="AF115" s="50">
        <v>4747664</v>
      </c>
      <c r="AG115" s="65" t="s">
        <v>244</v>
      </c>
      <c r="AH115" s="65" t="s">
        <v>245</v>
      </c>
      <c r="AI115" s="66" t="s">
        <v>246</v>
      </c>
      <c r="AJ115" s="67" t="s">
        <v>247</v>
      </c>
      <c r="AK115" s="68" t="s">
        <v>372</v>
      </c>
      <c r="AL115" s="69" t="s">
        <v>248</v>
      </c>
      <c r="AM115" s="70" t="s">
        <v>249</v>
      </c>
      <c r="AN115" s="65" t="s">
        <v>244</v>
      </c>
      <c r="AO115" s="65" t="s">
        <v>244</v>
      </c>
      <c r="AP115" s="71" t="s">
        <v>250</v>
      </c>
      <c r="AQ115" s="72" t="s">
        <v>251</v>
      </c>
      <c r="AR115" s="72" t="s">
        <v>252</v>
      </c>
      <c r="AS115" s="72" t="s">
        <v>250</v>
      </c>
      <c r="AT115" s="72"/>
      <c r="AU115" s="72"/>
    </row>
    <row r="116" spans="1:47" ht="33.75" x14ac:dyDescent="0.2">
      <c r="A116" s="216">
        <v>263</v>
      </c>
      <c r="B116" s="33" t="s">
        <v>90</v>
      </c>
      <c r="C116" s="33" t="s">
        <v>78</v>
      </c>
      <c r="D116" s="33" t="s">
        <v>375</v>
      </c>
      <c r="E116" s="33"/>
      <c r="F116" s="45" t="s">
        <v>374</v>
      </c>
      <c r="G116" s="45" t="s">
        <v>69</v>
      </c>
      <c r="H116" s="45" t="s">
        <v>28</v>
      </c>
      <c r="I116" s="75">
        <v>998049</v>
      </c>
      <c r="J116" s="195">
        <v>4</v>
      </c>
      <c r="K116" s="94">
        <v>3992196</v>
      </c>
      <c r="L116" s="59">
        <v>45136</v>
      </c>
      <c r="M116" s="58">
        <v>45260</v>
      </c>
      <c r="N116" s="80">
        <v>3992196</v>
      </c>
      <c r="O116" s="86"/>
      <c r="P116" s="86"/>
      <c r="Q116" s="78">
        <v>0</v>
      </c>
      <c r="R116" s="93">
        <v>3992196</v>
      </c>
      <c r="S116" s="87" t="s">
        <v>243</v>
      </c>
      <c r="T116" s="82" t="s">
        <v>373</v>
      </c>
      <c r="U116" s="88" t="s">
        <v>361</v>
      </c>
      <c r="V116" s="83" t="s">
        <v>244</v>
      </c>
      <c r="W116" s="84" t="str">
        <f t="shared" si="3"/>
        <v>CLE-263</v>
      </c>
      <c r="X116" s="87">
        <v>80111600</v>
      </c>
      <c r="Y116" s="34" t="s">
        <v>574</v>
      </c>
      <c r="Z116" s="61" t="s">
        <v>393</v>
      </c>
      <c r="AA116" s="61" t="s">
        <v>393</v>
      </c>
      <c r="AB116" s="62">
        <v>4</v>
      </c>
      <c r="AC116" s="63" t="s">
        <v>241</v>
      </c>
      <c r="AD116" s="64" t="s">
        <v>242</v>
      </c>
      <c r="AE116" s="50">
        <v>3992196</v>
      </c>
      <c r="AF116" s="50">
        <v>3992196</v>
      </c>
      <c r="AG116" s="65" t="s">
        <v>244</v>
      </c>
      <c r="AH116" s="65" t="s">
        <v>245</v>
      </c>
      <c r="AI116" s="66" t="s">
        <v>246</v>
      </c>
      <c r="AJ116" s="67" t="s">
        <v>247</v>
      </c>
      <c r="AK116" s="68" t="s">
        <v>372</v>
      </c>
      <c r="AL116" s="69" t="s">
        <v>248</v>
      </c>
      <c r="AM116" s="70" t="s">
        <v>249</v>
      </c>
      <c r="AN116" s="65" t="s">
        <v>244</v>
      </c>
      <c r="AO116" s="65" t="s">
        <v>244</v>
      </c>
      <c r="AP116" s="71" t="s">
        <v>250</v>
      </c>
      <c r="AQ116" s="72" t="s">
        <v>251</v>
      </c>
      <c r="AR116" s="72" t="s">
        <v>252</v>
      </c>
      <c r="AS116" s="72" t="s">
        <v>250</v>
      </c>
      <c r="AT116" s="72"/>
      <c r="AU116" s="72"/>
    </row>
    <row r="117" spans="1:47" ht="33.75" x14ac:dyDescent="0.2">
      <c r="A117" s="216">
        <v>264</v>
      </c>
      <c r="B117" s="33" t="s">
        <v>90</v>
      </c>
      <c r="C117" s="33" t="s">
        <v>78</v>
      </c>
      <c r="D117" s="33" t="s">
        <v>375</v>
      </c>
      <c r="E117" s="33"/>
      <c r="F117" s="45" t="s">
        <v>374</v>
      </c>
      <c r="G117" s="45" t="s">
        <v>69</v>
      </c>
      <c r="H117" s="45" t="s">
        <v>28</v>
      </c>
      <c r="I117" s="75">
        <v>998049</v>
      </c>
      <c r="J117" s="195">
        <v>4</v>
      </c>
      <c r="K117" s="94">
        <v>3992196</v>
      </c>
      <c r="L117" s="59">
        <v>45136</v>
      </c>
      <c r="M117" s="58">
        <v>45260</v>
      </c>
      <c r="N117" s="80">
        <v>3992196</v>
      </c>
      <c r="O117" s="86"/>
      <c r="P117" s="86"/>
      <c r="Q117" s="78">
        <v>0</v>
      </c>
      <c r="R117" s="93">
        <v>3992196</v>
      </c>
      <c r="S117" s="87" t="s">
        <v>243</v>
      </c>
      <c r="T117" s="82" t="s">
        <v>373</v>
      </c>
      <c r="U117" s="88" t="s">
        <v>361</v>
      </c>
      <c r="V117" s="83" t="s">
        <v>244</v>
      </c>
      <c r="W117" s="84" t="str">
        <f t="shared" si="3"/>
        <v>CLE-264</v>
      </c>
      <c r="X117" s="87">
        <v>80111600</v>
      </c>
      <c r="Y117" s="34" t="s">
        <v>574</v>
      </c>
      <c r="Z117" s="61" t="s">
        <v>393</v>
      </c>
      <c r="AA117" s="61" t="s">
        <v>393</v>
      </c>
      <c r="AB117" s="62">
        <v>4</v>
      </c>
      <c r="AC117" s="63" t="s">
        <v>241</v>
      </c>
      <c r="AD117" s="64" t="s">
        <v>242</v>
      </c>
      <c r="AE117" s="50">
        <v>3992196</v>
      </c>
      <c r="AF117" s="50">
        <v>3992196</v>
      </c>
      <c r="AG117" s="65" t="s">
        <v>244</v>
      </c>
      <c r="AH117" s="65" t="s">
        <v>245</v>
      </c>
      <c r="AI117" s="66" t="s">
        <v>246</v>
      </c>
      <c r="AJ117" s="67" t="s">
        <v>247</v>
      </c>
      <c r="AK117" s="68" t="s">
        <v>372</v>
      </c>
      <c r="AL117" s="69" t="s">
        <v>248</v>
      </c>
      <c r="AM117" s="70" t="s">
        <v>249</v>
      </c>
      <c r="AN117" s="65" t="s">
        <v>244</v>
      </c>
      <c r="AO117" s="65" t="s">
        <v>244</v>
      </c>
      <c r="AP117" s="71" t="s">
        <v>250</v>
      </c>
      <c r="AQ117" s="72" t="s">
        <v>251</v>
      </c>
      <c r="AR117" s="72" t="s">
        <v>252</v>
      </c>
      <c r="AS117" s="72" t="s">
        <v>250</v>
      </c>
      <c r="AT117" s="72"/>
      <c r="AU117" s="72"/>
    </row>
    <row r="118" spans="1:47" ht="33.75" x14ac:dyDescent="0.2">
      <c r="A118" s="216">
        <v>265</v>
      </c>
      <c r="B118" s="33" t="s">
        <v>90</v>
      </c>
      <c r="C118" s="33" t="s">
        <v>78</v>
      </c>
      <c r="D118" s="33" t="s">
        <v>375</v>
      </c>
      <c r="E118" s="33"/>
      <c r="F118" s="45" t="s">
        <v>374</v>
      </c>
      <c r="G118" s="45" t="s">
        <v>69</v>
      </c>
      <c r="H118" s="45" t="s">
        <v>28</v>
      </c>
      <c r="I118" s="75">
        <v>998049</v>
      </c>
      <c r="J118" s="195">
        <v>4</v>
      </c>
      <c r="K118" s="94">
        <v>3992196</v>
      </c>
      <c r="L118" s="59">
        <v>45136</v>
      </c>
      <c r="M118" s="58">
        <v>45260</v>
      </c>
      <c r="N118" s="80">
        <v>3992196</v>
      </c>
      <c r="O118" s="86"/>
      <c r="P118" s="86"/>
      <c r="Q118" s="78">
        <v>0</v>
      </c>
      <c r="R118" s="93">
        <v>3992196</v>
      </c>
      <c r="S118" s="87" t="s">
        <v>243</v>
      </c>
      <c r="T118" s="82" t="s">
        <v>373</v>
      </c>
      <c r="U118" s="88" t="s">
        <v>361</v>
      </c>
      <c r="V118" s="83" t="s">
        <v>244</v>
      </c>
      <c r="W118" s="84" t="str">
        <f t="shared" si="3"/>
        <v>CLE-265</v>
      </c>
      <c r="X118" s="87">
        <v>80111600</v>
      </c>
      <c r="Y118" s="34" t="s">
        <v>574</v>
      </c>
      <c r="Z118" s="61" t="s">
        <v>393</v>
      </c>
      <c r="AA118" s="61" t="s">
        <v>393</v>
      </c>
      <c r="AB118" s="62">
        <v>4</v>
      </c>
      <c r="AC118" s="63" t="s">
        <v>241</v>
      </c>
      <c r="AD118" s="64" t="s">
        <v>242</v>
      </c>
      <c r="AE118" s="50">
        <v>3992196</v>
      </c>
      <c r="AF118" s="50">
        <v>3992196</v>
      </c>
      <c r="AG118" s="65" t="s">
        <v>244</v>
      </c>
      <c r="AH118" s="65" t="s">
        <v>245</v>
      </c>
      <c r="AI118" s="66" t="s">
        <v>246</v>
      </c>
      <c r="AJ118" s="67" t="s">
        <v>247</v>
      </c>
      <c r="AK118" s="68" t="s">
        <v>372</v>
      </c>
      <c r="AL118" s="69" t="s">
        <v>248</v>
      </c>
      <c r="AM118" s="70" t="s">
        <v>249</v>
      </c>
      <c r="AN118" s="65" t="s">
        <v>244</v>
      </c>
      <c r="AO118" s="65" t="s">
        <v>244</v>
      </c>
      <c r="AP118" s="71" t="s">
        <v>250</v>
      </c>
      <c r="AQ118" s="72" t="s">
        <v>251</v>
      </c>
      <c r="AR118" s="72" t="s">
        <v>252</v>
      </c>
      <c r="AS118" s="72" t="s">
        <v>250</v>
      </c>
      <c r="AT118" s="72"/>
      <c r="AU118" s="72"/>
    </row>
    <row r="119" spans="1:47" ht="33.75" x14ac:dyDescent="0.2">
      <c r="A119" s="216">
        <v>266</v>
      </c>
      <c r="B119" s="33" t="s">
        <v>90</v>
      </c>
      <c r="C119" s="33" t="s">
        <v>78</v>
      </c>
      <c r="D119" s="33" t="s">
        <v>375</v>
      </c>
      <c r="E119" s="33"/>
      <c r="F119" s="45" t="s">
        <v>374</v>
      </c>
      <c r="G119" s="45" t="s">
        <v>69</v>
      </c>
      <c r="H119" s="45" t="s">
        <v>28</v>
      </c>
      <c r="I119" s="95">
        <v>998049</v>
      </c>
      <c r="J119" s="195">
        <v>4</v>
      </c>
      <c r="K119" s="100">
        <v>3992196</v>
      </c>
      <c r="L119" s="59">
        <v>45136</v>
      </c>
      <c r="M119" s="58">
        <v>45260</v>
      </c>
      <c r="N119" s="80">
        <v>3992196</v>
      </c>
      <c r="O119" s="86"/>
      <c r="P119" s="86"/>
      <c r="Q119" s="78">
        <v>0</v>
      </c>
      <c r="R119" s="93">
        <v>3992196</v>
      </c>
      <c r="S119" s="87" t="s">
        <v>243</v>
      </c>
      <c r="T119" s="82" t="s">
        <v>373</v>
      </c>
      <c r="U119" s="88" t="s">
        <v>361</v>
      </c>
      <c r="V119" s="83" t="s">
        <v>244</v>
      </c>
      <c r="W119" s="84" t="str">
        <f t="shared" si="3"/>
        <v>CLE-266</v>
      </c>
      <c r="X119" s="87">
        <v>80111600</v>
      </c>
      <c r="Y119" s="34" t="s">
        <v>574</v>
      </c>
      <c r="Z119" s="61" t="s">
        <v>393</v>
      </c>
      <c r="AA119" s="61" t="s">
        <v>393</v>
      </c>
      <c r="AB119" s="62">
        <v>4</v>
      </c>
      <c r="AC119" s="63" t="s">
        <v>241</v>
      </c>
      <c r="AD119" s="64" t="s">
        <v>242</v>
      </c>
      <c r="AE119" s="50">
        <v>3992196</v>
      </c>
      <c r="AF119" s="50">
        <v>3992196</v>
      </c>
      <c r="AG119" s="65" t="s">
        <v>244</v>
      </c>
      <c r="AH119" s="65" t="s">
        <v>245</v>
      </c>
      <c r="AI119" s="66" t="s">
        <v>246</v>
      </c>
      <c r="AJ119" s="67" t="s">
        <v>247</v>
      </c>
      <c r="AK119" s="68" t="s">
        <v>372</v>
      </c>
      <c r="AL119" s="69" t="s">
        <v>248</v>
      </c>
      <c r="AM119" s="70" t="s">
        <v>249</v>
      </c>
      <c r="AN119" s="65" t="s">
        <v>244</v>
      </c>
      <c r="AO119" s="65" t="s">
        <v>244</v>
      </c>
      <c r="AP119" s="71" t="s">
        <v>250</v>
      </c>
      <c r="AQ119" s="72" t="s">
        <v>251</v>
      </c>
      <c r="AR119" s="72" t="s">
        <v>252</v>
      </c>
      <c r="AS119" s="72" t="s">
        <v>250</v>
      </c>
      <c r="AT119" s="72"/>
      <c r="AU119" s="72"/>
    </row>
    <row r="120" spans="1:47" ht="33.75" x14ac:dyDescent="0.2">
      <c r="A120" s="216">
        <v>267</v>
      </c>
      <c r="B120" s="33" t="s">
        <v>90</v>
      </c>
      <c r="C120" s="33" t="s">
        <v>78</v>
      </c>
      <c r="D120" s="33" t="s">
        <v>375</v>
      </c>
      <c r="E120" s="33"/>
      <c r="F120" s="45" t="s">
        <v>374</v>
      </c>
      <c r="G120" s="45" t="s">
        <v>67</v>
      </c>
      <c r="H120" s="45" t="s">
        <v>28</v>
      </c>
      <c r="I120" s="95">
        <v>1186916</v>
      </c>
      <c r="J120" s="195">
        <v>4</v>
      </c>
      <c r="K120" s="100">
        <v>4747664</v>
      </c>
      <c r="L120" s="59">
        <v>45136</v>
      </c>
      <c r="M120" s="58">
        <v>45260</v>
      </c>
      <c r="N120" s="80">
        <v>4747664</v>
      </c>
      <c r="O120" s="86"/>
      <c r="P120" s="86"/>
      <c r="Q120" s="78">
        <v>0</v>
      </c>
      <c r="R120" s="93">
        <v>4747664</v>
      </c>
      <c r="S120" s="87" t="s">
        <v>243</v>
      </c>
      <c r="T120" s="82" t="s">
        <v>373</v>
      </c>
      <c r="U120" s="88" t="s">
        <v>361</v>
      </c>
      <c r="V120" s="83" t="s">
        <v>244</v>
      </c>
      <c r="W120" s="84" t="str">
        <f t="shared" si="3"/>
        <v>CLE-267</v>
      </c>
      <c r="X120" s="87">
        <v>80111600</v>
      </c>
      <c r="Y120" s="34" t="s">
        <v>574</v>
      </c>
      <c r="Z120" s="61" t="s">
        <v>393</v>
      </c>
      <c r="AA120" s="61" t="s">
        <v>393</v>
      </c>
      <c r="AB120" s="62">
        <v>4</v>
      </c>
      <c r="AC120" s="63" t="s">
        <v>241</v>
      </c>
      <c r="AD120" s="64" t="s">
        <v>242</v>
      </c>
      <c r="AE120" s="50">
        <v>4747664</v>
      </c>
      <c r="AF120" s="50">
        <v>4747664</v>
      </c>
      <c r="AG120" s="65" t="s">
        <v>244</v>
      </c>
      <c r="AH120" s="65" t="s">
        <v>245</v>
      </c>
      <c r="AI120" s="66" t="s">
        <v>246</v>
      </c>
      <c r="AJ120" s="67" t="s">
        <v>247</v>
      </c>
      <c r="AK120" s="68" t="s">
        <v>372</v>
      </c>
      <c r="AL120" s="69" t="s">
        <v>248</v>
      </c>
      <c r="AM120" s="70" t="s">
        <v>249</v>
      </c>
      <c r="AN120" s="65" t="s">
        <v>244</v>
      </c>
      <c r="AO120" s="65" t="s">
        <v>244</v>
      </c>
      <c r="AP120" s="71" t="s">
        <v>250</v>
      </c>
      <c r="AQ120" s="72" t="s">
        <v>251</v>
      </c>
      <c r="AR120" s="72" t="s">
        <v>252</v>
      </c>
      <c r="AS120" s="72" t="s">
        <v>250</v>
      </c>
      <c r="AT120" s="72"/>
      <c r="AU120" s="72"/>
    </row>
    <row r="121" spans="1:47" ht="33.75" x14ac:dyDescent="0.2">
      <c r="A121" s="216">
        <v>268</v>
      </c>
      <c r="B121" s="33" t="s">
        <v>90</v>
      </c>
      <c r="C121" s="33" t="s">
        <v>78</v>
      </c>
      <c r="D121" s="33" t="s">
        <v>375</v>
      </c>
      <c r="E121" s="33"/>
      <c r="F121" s="33" t="s">
        <v>374</v>
      </c>
      <c r="G121" s="45" t="s">
        <v>67</v>
      </c>
      <c r="H121" s="45" t="s">
        <v>28</v>
      </c>
      <c r="I121" s="75">
        <v>1186916</v>
      </c>
      <c r="J121" s="195">
        <v>4</v>
      </c>
      <c r="K121" s="93">
        <v>4747664</v>
      </c>
      <c r="L121" s="59">
        <v>45136</v>
      </c>
      <c r="M121" s="58">
        <v>45260</v>
      </c>
      <c r="N121" s="78">
        <v>4747664</v>
      </c>
      <c r="O121" s="99"/>
      <c r="P121" s="99"/>
      <c r="Q121" s="201">
        <v>0</v>
      </c>
      <c r="R121" s="93">
        <v>4747664</v>
      </c>
      <c r="S121" s="202" t="s">
        <v>243</v>
      </c>
      <c r="T121" s="203" t="s">
        <v>373</v>
      </c>
      <c r="U121" s="204" t="s">
        <v>361</v>
      </c>
      <c r="V121" s="83" t="s">
        <v>244</v>
      </c>
      <c r="W121" s="84" t="str">
        <f t="shared" si="3"/>
        <v>CLE-268</v>
      </c>
      <c r="X121" s="202">
        <v>80111600</v>
      </c>
      <c r="Y121" s="34" t="s">
        <v>574</v>
      </c>
      <c r="Z121" s="61" t="s">
        <v>393</v>
      </c>
      <c r="AA121" s="61" t="s">
        <v>393</v>
      </c>
      <c r="AB121" s="62">
        <v>4</v>
      </c>
      <c r="AC121" s="63" t="s">
        <v>241</v>
      </c>
      <c r="AD121" s="64" t="s">
        <v>242</v>
      </c>
      <c r="AE121" s="205">
        <v>4747664</v>
      </c>
      <c r="AF121" s="205">
        <v>4747664</v>
      </c>
      <c r="AG121" s="63" t="s">
        <v>244</v>
      </c>
      <c r="AH121" s="64" t="s">
        <v>245</v>
      </c>
      <c r="AI121" s="66" t="s">
        <v>246</v>
      </c>
      <c r="AJ121" s="67" t="s">
        <v>247</v>
      </c>
      <c r="AK121" s="68" t="s">
        <v>372</v>
      </c>
      <c r="AL121" s="69" t="s">
        <v>248</v>
      </c>
      <c r="AM121" s="70" t="s">
        <v>249</v>
      </c>
      <c r="AN121" s="65" t="s">
        <v>244</v>
      </c>
      <c r="AO121" s="65" t="s">
        <v>244</v>
      </c>
      <c r="AP121" s="71" t="s">
        <v>250</v>
      </c>
      <c r="AQ121" s="72" t="s">
        <v>251</v>
      </c>
      <c r="AR121" s="72" t="s">
        <v>252</v>
      </c>
      <c r="AS121" s="72" t="s">
        <v>250</v>
      </c>
      <c r="AT121" s="71"/>
      <c r="AU121" s="72"/>
    </row>
    <row r="122" spans="1:47" ht="33.75" x14ac:dyDescent="0.2">
      <c r="A122" s="216">
        <v>269</v>
      </c>
      <c r="B122" s="33" t="s">
        <v>90</v>
      </c>
      <c r="C122" s="33" t="s">
        <v>78</v>
      </c>
      <c r="D122" s="33" t="s">
        <v>375</v>
      </c>
      <c r="E122" s="33"/>
      <c r="F122" s="45" t="s">
        <v>374</v>
      </c>
      <c r="G122" s="45" t="s">
        <v>69</v>
      </c>
      <c r="H122" s="45" t="s">
        <v>28</v>
      </c>
      <c r="I122" s="95">
        <v>998049</v>
      </c>
      <c r="J122" s="195">
        <v>4</v>
      </c>
      <c r="K122" s="100">
        <v>3992196</v>
      </c>
      <c r="L122" s="59">
        <v>45136</v>
      </c>
      <c r="M122" s="58">
        <v>45260</v>
      </c>
      <c r="N122" s="80">
        <v>3992196</v>
      </c>
      <c r="O122" s="86"/>
      <c r="P122" s="86"/>
      <c r="Q122" s="78">
        <v>0</v>
      </c>
      <c r="R122" s="93">
        <v>3992196</v>
      </c>
      <c r="S122" s="87" t="s">
        <v>243</v>
      </c>
      <c r="T122" s="82" t="s">
        <v>373</v>
      </c>
      <c r="U122" s="88" t="s">
        <v>361</v>
      </c>
      <c r="V122" s="83" t="s">
        <v>244</v>
      </c>
      <c r="W122" s="84" t="str">
        <f t="shared" si="3"/>
        <v>CLE-269</v>
      </c>
      <c r="X122" s="87">
        <v>80111600</v>
      </c>
      <c r="Y122" s="34" t="s">
        <v>574</v>
      </c>
      <c r="Z122" s="61" t="s">
        <v>393</v>
      </c>
      <c r="AA122" s="61" t="s">
        <v>393</v>
      </c>
      <c r="AB122" s="62">
        <v>4</v>
      </c>
      <c r="AC122" s="63" t="s">
        <v>241</v>
      </c>
      <c r="AD122" s="64" t="s">
        <v>242</v>
      </c>
      <c r="AE122" s="50">
        <v>3992196</v>
      </c>
      <c r="AF122" s="50">
        <v>3992196</v>
      </c>
      <c r="AG122" s="65" t="s">
        <v>244</v>
      </c>
      <c r="AH122" s="65" t="s">
        <v>245</v>
      </c>
      <c r="AI122" s="66" t="s">
        <v>246</v>
      </c>
      <c r="AJ122" s="67" t="s">
        <v>247</v>
      </c>
      <c r="AK122" s="68" t="s">
        <v>372</v>
      </c>
      <c r="AL122" s="69" t="s">
        <v>248</v>
      </c>
      <c r="AM122" s="70" t="s">
        <v>249</v>
      </c>
      <c r="AN122" s="65" t="s">
        <v>244</v>
      </c>
      <c r="AO122" s="65" t="s">
        <v>244</v>
      </c>
      <c r="AP122" s="71" t="s">
        <v>250</v>
      </c>
      <c r="AQ122" s="72" t="s">
        <v>251</v>
      </c>
      <c r="AR122" s="72" t="s">
        <v>252</v>
      </c>
      <c r="AS122" s="72" t="s">
        <v>250</v>
      </c>
      <c r="AT122" s="72"/>
      <c r="AU122" s="72"/>
    </row>
    <row r="123" spans="1:47" ht="33.75" x14ac:dyDescent="0.2">
      <c r="A123" s="216">
        <v>270</v>
      </c>
      <c r="B123" s="33" t="s">
        <v>90</v>
      </c>
      <c r="C123" s="33" t="s">
        <v>78</v>
      </c>
      <c r="D123" s="33" t="s">
        <v>375</v>
      </c>
      <c r="E123" s="33"/>
      <c r="F123" s="45" t="s">
        <v>374</v>
      </c>
      <c r="G123" s="45" t="s">
        <v>69</v>
      </c>
      <c r="H123" s="45" t="s">
        <v>28</v>
      </c>
      <c r="I123" s="95">
        <v>998049</v>
      </c>
      <c r="J123" s="195">
        <v>4</v>
      </c>
      <c r="K123" s="100">
        <v>3992196</v>
      </c>
      <c r="L123" s="59">
        <v>45136</v>
      </c>
      <c r="M123" s="58">
        <v>45260</v>
      </c>
      <c r="N123" s="80">
        <v>3992196</v>
      </c>
      <c r="O123" s="86"/>
      <c r="P123" s="86"/>
      <c r="Q123" s="78">
        <v>0</v>
      </c>
      <c r="R123" s="93">
        <v>3992196</v>
      </c>
      <c r="S123" s="87" t="s">
        <v>243</v>
      </c>
      <c r="T123" s="82" t="s">
        <v>373</v>
      </c>
      <c r="U123" s="88" t="s">
        <v>361</v>
      </c>
      <c r="V123" s="83" t="s">
        <v>244</v>
      </c>
      <c r="W123" s="84" t="str">
        <f t="shared" si="3"/>
        <v>CLE-270</v>
      </c>
      <c r="X123" s="87">
        <v>80111600</v>
      </c>
      <c r="Y123" s="34" t="s">
        <v>574</v>
      </c>
      <c r="Z123" s="61" t="s">
        <v>393</v>
      </c>
      <c r="AA123" s="61" t="s">
        <v>393</v>
      </c>
      <c r="AB123" s="62">
        <v>4</v>
      </c>
      <c r="AC123" s="63" t="s">
        <v>241</v>
      </c>
      <c r="AD123" s="64" t="s">
        <v>242</v>
      </c>
      <c r="AE123" s="50">
        <v>3992196</v>
      </c>
      <c r="AF123" s="50">
        <v>3992196</v>
      </c>
      <c r="AG123" s="65" t="s">
        <v>244</v>
      </c>
      <c r="AH123" s="65" t="s">
        <v>245</v>
      </c>
      <c r="AI123" s="66" t="s">
        <v>246</v>
      </c>
      <c r="AJ123" s="67" t="s">
        <v>247</v>
      </c>
      <c r="AK123" s="68" t="s">
        <v>372</v>
      </c>
      <c r="AL123" s="69" t="s">
        <v>248</v>
      </c>
      <c r="AM123" s="70" t="s">
        <v>249</v>
      </c>
      <c r="AN123" s="65" t="s">
        <v>244</v>
      </c>
      <c r="AO123" s="65" t="s">
        <v>244</v>
      </c>
      <c r="AP123" s="71" t="s">
        <v>250</v>
      </c>
      <c r="AQ123" s="72" t="s">
        <v>251</v>
      </c>
      <c r="AR123" s="72" t="s">
        <v>252</v>
      </c>
      <c r="AS123" s="72" t="s">
        <v>250</v>
      </c>
      <c r="AT123" s="72"/>
      <c r="AU123" s="72"/>
    </row>
    <row r="124" spans="1:47" ht="33.75" x14ac:dyDescent="0.2">
      <c r="A124" s="216">
        <v>271</v>
      </c>
      <c r="B124" s="33" t="s">
        <v>90</v>
      </c>
      <c r="C124" s="33" t="s">
        <v>78</v>
      </c>
      <c r="D124" s="33" t="s">
        <v>375</v>
      </c>
      <c r="E124" s="33"/>
      <c r="F124" s="45" t="s">
        <v>374</v>
      </c>
      <c r="G124" s="45" t="s">
        <v>69</v>
      </c>
      <c r="H124" s="45" t="s">
        <v>28</v>
      </c>
      <c r="I124" s="95">
        <v>998049</v>
      </c>
      <c r="J124" s="195">
        <v>4</v>
      </c>
      <c r="K124" s="100">
        <v>3992196</v>
      </c>
      <c r="L124" s="59">
        <v>45136</v>
      </c>
      <c r="M124" s="58">
        <v>45260</v>
      </c>
      <c r="N124" s="80">
        <v>3992196</v>
      </c>
      <c r="O124" s="86"/>
      <c r="P124" s="86"/>
      <c r="Q124" s="78">
        <v>0</v>
      </c>
      <c r="R124" s="93">
        <v>3992196</v>
      </c>
      <c r="S124" s="87" t="s">
        <v>243</v>
      </c>
      <c r="T124" s="82" t="s">
        <v>373</v>
      </c>
      <c r="U124" s="88" t="s">
        <v>361</v>
      </c>
      <c r="V124" s="83" t="s">
        <v>244</v>
      </c>
      <c r="W124" s="84" t="str">
        <f t="shared" si="3"/>
        <v>CLE-271</v>
      </c>
      <c r="X124" s="87">
        <v>80111600</v>
      </c>
      <c r="Y124" s="34" t="s">
        <v>574</v>
      </c>
      <c r="Z124" s="61" t="s">
        <v>393</v>
      </c>
      <c r="AA124" s="61" t="s">
        <v>393</v>
      </c>
      <c r="AB124" s="62">
        <v>4</v>
      </c>
      <c r="AC124" s="63" t="s">
        <v>241</v>
      </c>
      <c r="AD124" s="64" t="s">
        <v>242</v>
      </c>
      <c r="AE124" s="50">
        <v>3992196</v>
      </c>
      <c r="AF124" s="50">
        <v>3992196</v>
      </c>
      <c r="AG124" s="65" t="s">
        <v>244</v>
      </c>
      <c r="AH124" s="65" t="s">
        <v>245</v>
      </c>
      <c r="AI124" s="66" t="s">
        <v>246</v>
      </c>
      <c r="AJ124" s="67" t="s">
        <v>247</v>
      </c>
      <c r="AK124" s="68" t="s">
        <v>372</v>
      </c>
      <c r="AL124" s="69" t="s">
        <v>248</v>
      </c>
      <c r="AM124" s="70" t="s">
        <v>249</v>
      </c>
      <c r="AN124" s="65" t="s">
        <v>244</v>
      </c>
      <c r="AO124" s="65" t="s">
        <v>244</v>
      </c>
      <c r="AP124" s="71" t="s">
        <v>250</v>
      </c>
      <c r="AQ124" s="72" t="s">
        <v>251</v>
      </c>
      <c r="AR124" s="72" t="s">
        <v>252</v>
      </c>
      <c r="AS124" s="72" t="s">
        <v>250</v>
      </c>
      <c r="AT124" s="72"/>
      <c r="AU124" s="72"/>
    </row>
    <row r="125" spans="1:47" ht="33.75" x14ac:dyDescent="0.2">
      <c r="A125" s="216">
        <v>272</v>
      </c>
      <c r="B125" s="33" t="s">
        <v>90</v>
      </c>
      <c r="C125" s="33" t="s">
        <v>78</v>
      </c>
      <c r="D125" s="33" t="s">
        <v>375</v>
      </c>
      <c r="E125" s="33"/>
      <c r="F125" s="33" t="s">
        <v>374</v>
      </c>
      <c r="G125" s="45" t="s">
        <v>67</v>
      </c>
      <c r="H125" s="45" t="s">
        <v>28</v>
      </c>
      <c r="I125" s="75">
        <v>1186916</v>
      </c>
      <c r="J125" s="195">
        <v>4</v>
      </c>
      <c r="K125" s="93">
        <v>4747664</v>
      </c>
      <c r="L125" s="59">
        <v>45136</v>
      </c>
      <c r="M125" s="58">
        <v>45260</v>
      </c>
      <c r="N125" s="78">
        <v>4747664</v>
      </c>
      <c r="O125" s="99"/>
      <c r="P125" s="99"/>
      <c r="Q125" s="201">
        <v>0</v>
      </c>
      <c r="R125" s="93">
        <v>4747664</v>
      </c>
      <c r="S125" s="202" t="s">
        <v>243</v>
      </c>
      <c r="T125" s="203" t="s">
        <v>373</v>
      </c>
      <c r="U125" s="204" t="s">
        <v>361</v>
      </c>
      <c r="V125" s="83" t="s">
        <v>244</v>
      </c>
      <c r="W125" s="84" t="str">
        <f t="shared" si="3"/>
        <v>CLE-272</v>
      </c>
      <c r="X125" s="202">
        <v>80111600</v>
      </c>
      <c r="Y125" s="34" t="s">
        <v>574</v>
      </c>
      <c r="Z125" s="61" t="s">
        <v>393</v>
      </c>
      <c r="AA125" s="61" t="s">
        <v>393</v>
      </c>
      <c r="AB125" s="62">
        <v>4</v>
      </c>
      <c r="AC125" s="63" t="s">
        <v>241</v>
      </c>
      <c r="AD125" s="64" t="s">
        <v>242</v>
      </c>
      <c r="AE125" s="205">
        <v>4747664</v>
      </c>
      <c r="AF125" s="205">
        <v>4747664</v>
      </c>
      <c r="AG125" s="63" t="s">
        <v>244</v>
      </c>
      <c r="AH125" s="64" t="s">
        <v>245</v>
      </c>
      <c r="AI125" s="66" t="s">
        <v>246</v>
      </c>
      <c r="AJ125" s="67" t="s">
        <v>247</v>
      </c>
      <c r="AK125" s="68" t="s">
        <v>372</v>
      </c>
      <c r="AL125" s="69" t="s">
        <v>248</v>
      </c>
      <c r="AM125" s="70" t="s">
        <v>249</v>
      </c>
      <c r="AN125" s="65" t="s">
        <v>244</v>
      </c>
      <c r="AO125" s="65" t="s">
        <v>244</v>
      </c>
      <c r="AP125" s="71" t="s">
        <v>250</v>
      </c>
      <c r="AQ125" s="72" t="s">
        <v>251</v>
      </c>
      <c r="AR125" s="72" t="s">
        <v>252</v>
      </c>
      <c r="AS125" s="72" t="s">
        <v>250</v>
      </c>
      <c r="AT125" s="71"/>
      <c r="AU125" s="72"/>
    </row>
    <row r="126" spans="1:47" ht="33.75" x14ac:dyDescent="0.2">
      <c r="A126" s="216">
        <v>273</v>
      </c>
      <c r="B126" s="33" t="s">
        <v>90</v>
      </c>
      <c r="C126" s="33" t="s">
        <v>78</v>
      </c>
      <c r="D126" s="33" t="s">
        <v>375</v>
      </c>
      <c r="E126" s="33"/>
      <c r="F126" s="33" t="s">
        <v>374</v>
      </c>
      <c r="G126" s="45" t="s">
        <v>67</v>
      </c>
      <c r="H126" s="45" t="s">
        <v>28</v>
      </c>
      <c r="I126" s="75">
        <v>1186916</v>
      </c>
      <c r="J126" s="195">
        <v>4</v>
      </c>
      <c r="K126" s="93">
        <v>4747664</v>
      </c>
      <c r="L126" s="59">
        <v>45136</v>
      </c>
      <c r="M126" s="58">
        <v>45260</v>
      </c>
      <c r="N126" s="78">
        <v>4747664</v>
      </c>
      <c r="O126" s="99"/>
      <c r="P126" s="99"/>
      <c r="Q126" s="201">
        <v>0</v>
      </c>
      <c r="R126" s="93">
        <v>4747664</v>
      </c>
      <c r="S126" s="202" t="s">
        <v>243</v>
      </c>
      <c r="T126" s="203" t="s">
        <v>373</v>
      </c>
      <c r="U126" s="204" t="s">
        <v>361</v>
      </c>
      <c r="V126" s="83" t="s">
        <v>244</v>
      </c>
      <c r="W126" s="84" t="str">
        <f t="shared" si="3"/>
        <v>CLE-273</v>
      </c>
      <c r="X126" s="202">
        <v>80111600</v>
      </c>
      <c r="Y126" s="34" t="s">
        <v>574</v>
      </c>
      <c r="Z126" s="61" t="s">
        <v>393</v>
      </c>
      <c r="AA126" s="61" t="s">
        <v>393</v>
      </c>
      <c r="AB126" s="62">
        <v>4</v>
      </c>
      <c r="AC126" s="63" t="s">
        <v>241</v>
      </c>
      <c r="AD126" s="64" t="s">
        <v>242</v>
      </c>
      <c r="AE126" s="205">
        <v>4747664</v>
      </c>
      <c r="AF126" s="205">
        <v>4747664</v>
      </c>
      <c r="AG126" s="63" t="s">
        <v>244</v>
      </c>
      <c r="AH126" s="64" t="s">
        <v>245</v>
      </c>
      <c r="AI126" s="66" t="s">
        <v>246</v>
      </c>
      <c r="AJ126" s="67" t="s">
        <v>247</v>
      </c>
      <c r="AK126" s="68" t="s">
        <v>372</v>
      </c>
      <c r="AL126" s="69" t="s">
        <v>248</v>
      </c>
      <c r="AM126" s="70" t="s">
        <v>249</v>
      </c>
      <c r="AN126" s="65" t="s">
        <v>244</v>
      </c>
      <c r="AO126" s="65" t="s">
        <v>244</v>
      </c>
      <c r="AP126" s="71" t="s">
        <v>250</v>
      </c>
      <c r="AQ126" s="72" t="s">
        <v>251</v>
      </c>
      <c r="AR126" s="72" t="s">
        <v>252</v>
      </c>
      <c r="AS126" s="72" t="s">
        <v>250</v>
      </c>
      <c r="AT126" s="71"/>
      <c r="AU126" s="72"/>
    </row>
    <row r="127" spans="1:47" ht="33.75" x14ac:dyDescent="0.2">
      <c r="A127" s="216">
        <v>274</v>
      </c>
      <c r="B127" s="33" t="s">
        <v>90</v>
      </c>
      <c r="C127" s="33" t="s">
        <v>78</v>
      </c>
      <c r="D127" s="33" t="s">
        <v>375</v>
      </c>
      <c r="E127" s="33"/>
      <c r="F127" s="33" t="s">
        <v>374</v>
      </c>
      <c r="G127" s="45" t="s">
        <v>67</v>
      </c>
      <c r="H127" s="45" t="s">
        <v>28</v>
      </c>
      <c r="I127" s="75">
        <v>1186916</v>
      </c>
      <c r="J127" s="195">
        <v>4</v>
      </c>
      <c r="K127" s="93">
        <v>4747664</v>
      </c>
      <c r="L127" s="59">
        <v>45136</v>
      </c>
      <c r="M127" s="58">
        <v>45260</v>
      </c>
      <c r="N127" s="78">
        <v>4747664</v>
      </c>
      <c r="O127" s="99"/>
      <c r="P127" s="99"/>
      <c r="Q127" s="201">
        <v>0</v>
      </c>
      <c r="R127" s="93">
        <v>4747664</v>
      </c>
      <c r="S127" s="202" t="s">
        <v>243</v>
      </c>
      <c r="T127" s="203" t="s">
        <v>373</v>
      </c>
      <c r="U127" s="204" t="s">
        <v>361</v>
      </c>
      <c r="V127" s="83" t="s">
        <v>244</v>
      </c>
      <c r="W127" s="84" t="str">
        <f t="shared" si="3"/>
        <v>CLE-274</v>
      </c>
      <c r="X127" s="202">
        <v>80111600</v>
      </c>
      <c r="Y127" s="34" t="s">
        <v>574</v>
      </c>
      <c r="Z127" s="61" t="s">
        <v>393</v>
      </c>
      <c r="AA127" s="61" t="s">
        <v>393</v>
      </c>
      <c r="AB127" s="62">
        <v>4</v>
      </c>
      <c r="AC127" s="63" t="s">
        <v>241</v>
      </c>
      <c r="AD127" s="64" t="s">
        <v>242</v>
      </c>
      <c r="AE127" s="205">
        <v>4747664</v>
      </c>
      <c r="AF127" s="205">
        <v>4747664</v>
      </c>
      <c r="AG127" s="63" t="s">
        <v>244</v>
      </c>
      <c r="AH127" s="64" t="s">
        <v>245</v>
      </c>
      <c r="AI127" s="66" t="s">
        <v>246</v>
      </c>
      <c r="AJ127" s="67" t="s">
        <v>247</v>
      </c>
      <c r="AK127" s="68" t="s">
        <v>372</v>
      </c>
      <c r="AL127" s="69" t="s">
        <v>248</v>
      </c>
      <c r="AM127" s="70" t="s">
        <v>249</v>
      </c>
      <c r="AN127" s="65" t="s">
        <v>244</v>
      </c>
      <c r="AO127" s="65" t="s">
        <v>244</v>
      </c>
      <c r="AP127" s="71" t="s">
        <v>250</v>
      </c>
      <c r="AQ127" s="72" t="s">
        <v>251</v>
      </c>
      <c r="AR127" s="72" t="s">
        <v>252</v>
      </c>
      <c r="AS127" s="72" t="s">
        <v>250</v>
      </c>
      <c r="AT127" s="71"/>
      <c r="AU127" s="72"/>
    </row>
    <row r="128" spans="1:47" ht="33.75" x14ac:dyDescent="0.2">
      <c r="A128" s="216">
        <v>275</v>
      </c>
      <c r="B128" s="33" t="s">
        <v>90</v>
      </c>
      <c r="C128" s="33" t="s">
        <v>78</v>
      </c>
      <c r="D128" s="33" t="s">
        <v>375</v>
      </c>
      <c r="E128" s="33"/>
      <c r="F128" s="33" t="s">
        <v>374</v>
      </c>
      <c r="G128" s="45" t="s">
        <v>69</v>
      </c>
      <c r="H128" s="45" t="s">
        <v>28</v>
      </c>
      <c r="I128" s="75">
        <v>998049</v>
      </c>
      <c r="J128" s="195">
        <v>4</v>
      </c>
      <c r="K128" s="93">
        <v>3992196</v>
      </c>
      <c r="L128" s="59">
        <v>45136</v>
      </c>
      <c r="M128" s="58">
        <v>45260</v>
      </c>
      <c r="N128" s="78">
        <v>3992196</v>
      </c>
      <c r="O128" s="99"/>
      <c r="P128" s="99"/>
      <c r="Q128" s="201">
        <v>0</v>
      </c>
      <c r="R128" s="93">
        <v>3992196</v>
      </c>
      <c r="S128" s="202" t="s">
        <v>243</v>
      </c>
      <c r="T128" s="203" t="s">
        <v>373</v>
      </c>
      <c r="U128" s="204" t="s">
        <v>361</v>
      </c>
      <c r="V128" s="83" t="s">
        <v>244</v>
      </c>
      <c r="W128" s="84" t="str">
        <f t="shared" si="3"/>
        <v>CLE-275</v>
      </c>
      <c r="X128" s="202">
        <v>80111600</v>
      </c>
      <c r="Y128" s="34" t="s">
        <v>574</v>
      </c>
      <c r="Z128" s="61" t="s">
        <v>393</v>
      </c>
      <c r="AA128" s="61" t="s">
        <v>393</v>
      </c>
      <c r="AB128" s="62">
        <v>4</v>
      </c>
      <c r="AC128" s="63" t="s">
        <v>241</v>
      </c>
      <c r="AD128" s="64" t="s">
        <v>242</v>
      </c>
      <c r="AE128" s="205">
        <v>3992196</v>
      </c>
      <c r="AF128" s="205">
        <v>3992196</v>
      </c>
      <c r="AG128" s="63" t="s">
        <v>244</v>
      </c>
      <c r="AH128" s="64" t="s">
        <v>245</v>
      </c>
      <c r="AI128" s="66" t="s">
        <v>246</v>
      </c>
      <c r="AJ128" s="67" t="s">
        <v>247</v>
      </c>
      <c r="AK128" s="68" t="s">
        <v>372</v>
      </c>
      <c r="AL128" s="69" t="s">
        <v>248</v>
      </c>
      <c r="AM128" s="70" t="s">
        <v>249</v>
      </c>
      <c r="AN128" s="65" t="s">
        <v>244</v>
      </c>
      <c r="AO128" s="65" t="s">
        <v>244</v>
      </c>
      <c r="AP128" s="71" t="s">
        <v>250</v>
      </c>
      <c r="AQ128" s="72" t="s">
        <v>251</v>
      </c>
      <c r="AR128" s="72" t="s">
        <v>252</v>
      </c>
      <c r="AS128" s="72" t="s">
        <v>250</v>
      </c>
      <c r="AT128" s="71"/>
      <c r="AU128" s="72"/>
    </row>
    <row r="129" spans="1:47" ht="33.75" x14ac:dyDescent="0.2">
      <c r="A129" s="216">
        <v>276</v>
      </c>
      <c r="B129" s="33" t="s">
        <v>90</v>
      </c>
      <c r="C129" s="33" t="s">
        <v>78</v>
      </c>
      <c r="D129" s="33" t="s">
        <v>375</v>
      </c>
      <c r="E129" s="33"/>
      <c r="F129" s="33" t="s">
        <v>374</v>
      </c>
      <c r="G129" s="45" t="s">
        <v>69</v>
      </c>
      <c r="H129" s="45" t="s">
        <v>28</v>
      </c>
      <c r="I129" s="75">
        <v>998049</v>
      </c>
      <c r="J129" s="195">
        <v>4</v>
      </c>
      <c r="K129" s="93">
        <v>3992196</v>
      </c>
      <c r="L129" s="59">
        <v>45136</v>
      </c>
      <c r="M129" s="58">
        <v>45260</v>
      </c>
      <c r="N129" s="78">
        <v>3992196</v>
      </c>
      <c r="O129" s="99"/>
      <c r="P129" s="99"/>
      <c r="Q129" s="201">
        <v>0</v>
      </c>
      <c r="R129" s="93">
        <v>3992196</v>
      </c>
      <c r="S129" s="202" t="s">
        <v>243</v>
      </c>
      <c r="T129" s="203" t="s">
        <v>373</v>
      </c>
      <c r="U129" s="204" t="s">
        <v>361</v>
      </c>
      <c r="V129" s="83" t="s">
        <v>244</v>
      </c>
      <c r="W129" s="84" t="str">
        <f t="shared" si="3"/>
        <v>CLE-276</v>
      </c>
      <c r="X129" s="202">
        <v>80111600</v>
      </c>
      <c r="Y129" s="34" t="s">
        <v>574</v>
      </c>
      <c r="Z129" s="61" t="s">
        <v>393</v>
      </c>
      <c r="AA129" s="61" t="s">
        <v>393</v>
      </c>
      <c r="AB129" s="62">
        <v>4</v>
      </c>
      <c r="AC129" s="63" t="s">
        <v>241</v>
      </c>
      <c r="AD129" s="64" t="s">
        <v>242</v>
      </c>
      <c r="AE129" s="205">
        <v>3992196</v>
      </c>
      <c r="AF129" s="205">
        <v>3992196</v>
      </c>
      <c r="AG129" s="63" t="s">
        <v>244</v>
      </c>
      <c r="AH129" s="64" t="s">
        <v>245</v>
      </c>
      <c r="AI129" s="66" t="s">
        <v>246</v>
      </c>
      <c r="AJ129" s="67" t="s">
        <v>247</v>
      </c>
      <c r="AK129" s="68" t="s">
        <v>372</v>
      </c>
      <c r="AL129" s="69" t="s">
        <v>248</v>
      </c>
      <c r="AM129" s="70" t="s">
        <v>249</v>
      </c>
      <c r="AN129" s="65" t="s">
        <v>244</v>
      </c>
      <c r="AO129" s="65" t="s">
        <v>244</v>
      </c>
      <c r="AP129" s="71" t="s">
        <v>250</v>
      </c>
      <c r="AQ129" s="72" t="s">
        <v>251</v>
      </c>
      <c r="AR129" s="72" t="s">
        <v>252</v>
      </c>
      <c r="AS129" s="72" t="s">
        <v>250</v>
      </c>
      <c r="AT129" s="71"/>
      <c r="AU129" s="72"/>
    </row>
    <row r="130" spans="1:47" ht="33.75" x14ac:dyDescent="0.2">
      <c r="A130" s="216">
        <v>277</v>
      </c>
      <c r="B130" s="33" t="s">
        <v>90</v>
      </c>
      <c r="C130" s="33" t="s">
        <v>78</v>
      </c>
      <c r="D130" s="33" t="s">
        <v>375</v>
      </c>
      <c r="E130" s="33"/>
      <c r="F130" s="45" t="s">
        <v>374</v>
      </c>
      <c r="G130" s="45" t="s">
        <v>67</v>
      </c>
      <c r="H130" s="45" t="s">
        <v>28</v>
      </c>
      <c r="I130" s="95">
        <v>1186916</v>
      </c>
      <c r="J130" s="195">
        <v>4</v>
      </c>
      <c r="K130" s="100">
        <v>4747664</v>
      </c>
      <c r="L130" s="59">
        <v>45136</v>
      </c>
      <c r="M130" s="58">
        <v>45260</v>
      </c>
      <c r="N130" s="80">
        <v>4747664</v>
      </c>
      <c r="O130" s="86"/>
      <c r="P130" s="86"/>
      <c r="Q130" s="78">
        <v>0</v>
      </c>
      <c r="R130" s="93">
        <v>4747664</v>
      </c>
      <c r="S130" s="87" t="s">
        <v>243</v>
      </c>
      <c r="T130" s="82" t="s">
        <v>373</v>
      </c>
      <c r="U130" s="88" t="s">
        <v>361</v>
      </c>
      <c r="V130" s="83" t="s">
        <v>244</v>
      </c>
      <c r="W130" s="84" t="str">
        <f t="shared" si="3"/>
        <v>CLE-277</v>
      </c>
      <c r="X130" s="87">
        <v>80111600</v>
      </c>
      <c r="Y130" s="34" t="s">
        <v>574</v>
      </c>
      <c r="Z130" s="61" t="s">
        <v>393</v>
      </c>
      <c r="AA130" s="61" t="s">
        <v>393</v>
      </c>
      <c r="AB130" s="62">
        <v>4</v>
      </c>
      <c r="AC130" s="63" t="s">
        <v>241</v>
      </c>
      <c r="AD130" s="64" t="s">
        <v>242</v>
      </c>
      <c r="AE130" s="50">
        <v>4747664</v>
      </c>
      <c r="AF130" s="50">
        <v>4747664</v>
      </c>
      <c r="AG130" s="65" t="s">
        <v>244</v>
      </c>
      <c r="AH130" s="65" t="s">
        <v>245</v>
      </c>
      <c r="AI130" s="66" t="s">
        <v>246</v>
      </c>
      <c r="AJ130" s="67" t="s">
        <v>247</v>
      </c>
      <c r="AK130" s="68" t="s">
        <v>372</v>
      </c>
      <c r="AL130" s="69" t="s">
        <v>248</v>
      </c>
      <c r="AM130" s="70" t="s">
        <v>249</v>
      </c>
      <c r="AN130" s="65" t="s">
        <v>244</v>
      </c>
      <c r="AO130" s="65" t="s">
        <v>244</v>
      </c>
      <c r="AP130" s="71" t="s">
        <v>250</v>
      </c>
      <c r="AQ130" s="72" t="s">
        <v>251</v>
      </c>
      <c r="AR130" s="72" t="s">
        <v>252</v>
      </c>
      <c r="AS130" s="72" t="s">
        <v>250</v>
      </c>
      <c r="AT130" s="72"/>
      <c r="AU130" s="72"/>
    </row>
    <row r="131" spans="1:47" ht="33.75" x14ac:dyDescent="0.2">
      <c r="A131" s="216">
        <v>278</v>
      </c>
      <c r="B131" s="33" t="s">
        <v>90</v>
      </c>
      <c r="C131" s="33" t="s">
        <v>78</v>
      </c>
      <c r="D131" s="33" t="s">
        <v>375</v>
      </c>
      <c r="E131" s="33"/>
      <c r="F131" s="45" t="s">
        <v>374</v>
      </c>
      <c r="G131" s="45" t="s">
        <v>69</v>
      </c>
      <c r="H131" s="45" t="s">
        <v>28</v>
      </c>
      <c r="I131" s="95">
        <v>998049</v>
      </c>
      <c r="J131" s="195">
        <v>4</v>
      </c>
      <c r="K131" s="100">
        <v>3992196</v>
      </c>
      <c r="L131" s="59">
        <v>45136</v>
      </c>
      <c r="M131" s="58">
        <v>45260</v>
      </c>
      <c r="N131" s="80">
        <v>3992196</v>
      </c>
      <c r="O131" s="86"/>
      <c r="P131" s="86"/>
      <c r="Q131" s="78">
        <v>0</v>
      </c>
      <c r="R131" s="93">
        <v>3992196</v>
      </c>
      <c r="S131" s="87" t="s">
        <v>243</v>
      </c>
      <c r="T131" s="82" t="s">
        <v>373</v>
      </c>
      <c r="U131" s="88" t="s">
        <v>361</v>
      </c>
      <c r="V131" s="83" t="s">
        <v>244</v>
      </c>
      <c r="W131" s="84" t="str">
        <f t="shared" si="3"/>
        <v>CLE-278</v>
      </c>
      <c r="X131" s="87">
        <v>80111600</v>
      </c>
      <c r="Y131" s="34" t="s">
        <v>574</v>
      </c>
      <c r="Z131" s="61" t="s">
        <v>393</v>
      </c>
      <c r="AA131" s="61" t="s">
        <v>393</v>
      </c>
      <c r="AB131" s="62">
        <v>4</v>
      </c>
      <c r="AC131" s="63" t="s">
        <v>241</v>
      </c>
      <c r="AD131" s="64" t="s">
        <v>242</v>
      </c>
      <c r="AE131" s="50">
        <v>3992196</v>
      </c>
      <c r="AF131" s="50">
        <v>3992196</v>
      </c>
      <c r="AG131" s="65" t="s">
        <v>244</v>
      </c>
      <c r="AH131" s="65" t="s">
        <v>245</v>
      </c>
      <c r="AI131" s="66" t="s">
        <v>246</v>
      </c>
      <c r="AJ131" s="67" t="s">
        <v>247</v>
      </c>
      <c r="AK131" s="68" t="s">
        <v>372</v>
      </c>
      <c r="AL131" s="69" t="s">
        <v>248</v>
      </c>
      <c r="AM131" s="70" t="s">
        <v>249</v>
      </c>
      <c r="AN131" s="65" t="s">
        <v>244</v>
      </c>
      <c r="AO131" s="65" t="s">
        <v>244</v>
      </c>
      <c r="AP131" s="71" t="s">
        <v>250</v>
      </c>
      <c r="AQ131" s="72" t="s">
        <v>251</v>
      </c>
      <c r="AR131" s="72" t="s">
        <v>252</v>
      </c>
      <c r="AS131" s="72" t="s">
        <v>250</v>
      </c>
      <c r="AT131" s="72"/>
      <c r="AU131" s="72"/>
    </row>
    <row r="132" spans="1:47" ht="33.75" x14ac:dyDescent="0.2">
      <c r="A132" s="216">
        <v>279</v>
      </c>
      <c r="B132" s="33" t="s">
        <v>90</v>
      </c>
      <c r="C132" s="33" t="s">
        <v>78</v>
      </c>
      <c r="D132" s="33" t="s">
        <v>375</v>
      </c>
      <c r="E132" s="33"/>
      <c r="F132" s="33" t="s">
        <v>374</v>
      </c>
      <c r="G132" s="45" t="s">
        <v>69</v>
      </c>
      <c r="H132" s="45" t="s">
        <v>28</v>
      </c>
      <c r="I132" s="75">
        <v>998049</v>
      </c>
      <c r="J132" s="195">
        <v>4</v>
      </c>
      <c r="K132" s="93">
        <v>3992196</v>
      </c>
      <c r="L132" s="59">
        <v>45136</v>
      </c>
      <c r="M132" s="58">
        <v>45260</v>
      </c>
      <c r="N132" s="78">
        <v>3992196</v>
      </c>
      <c r="O132" s="99"/>
      <c r="P132" s="99"/>
      <c r="Q132" s="201">
        <v>0</v>
      </c>
      <c r="R132" s="93">
        <v>3992196</v>
      </c>
      <c r="S132" s="202" t="s">
        <v>243</v>
      </c>
      <c r="T132" s="203" t="s">
        <v>373</v>
      </c>
      <c r="U132" s="204" t="s">
        <v>361</v>
      </c>
      <c r="V132" s="83" t="s">
        <v>244</v>
      </c>
      <c r="W132" s="84" t="str">
        <f t="shared" si="3"/>
        <v>CLE-279</v>
      </c>
      <c r="X132" s="202">
        <v>80111600</v>
      </c>
      <c r="Y132" s="34" t="s">
        <v>574</v>
      </c>
      <c r="Z132" s="61" t="s">
        <v>393</v>
      </c>
      <c r="AA132" s="61" t="s">
        <v>393</v>
      </c>
      <c r="AB132" s="62">
        <v>4</v>
      </c>
      <c r="AC132" s="63" t="s">
        <v>241</v>
      </c>
      <c r="AD132" s="64" t="s">
        <v>242</v>
      </c>
      <c r="AE132" s="205">
        <v>3992196</v>
      </c>
      <c r="AF132" s="205">
        <v>3992196</v>
      </c>
      <c r="AG132" s="63" t="s">
        <v>244</v>
      </c>
      <c r="AH132" s="64" t="s">
        <v>245</v>
      </c>
      <c r="AI132" s="66" t="s">
        <v>246</v>
      </c>
      <c r="AJ132" s="67" t="s">
        <v>247</v>
      </c>
      <c r="AK132" s="68" t="s">
        <v>372</v>
      </c>
      <c r="AL132" s="69" t="s">
        <v>248</v>
      </c>
      <c r="AM132" s="70" t="s">
        <v>249</v>
      </c>
      <c r="AN132" s="65" t="s">
        <v>244</v>
      </c>
      <c r="AO132" s="65" t="s">
        <v>244</v>
      </c>
      <c r="AP132" s="71" t="s">
        <v>250</v>
      </c>
      <c r="AQ132" s="72" t="s">
        <v>251</v>
      </c>
      <c r="AR132" s="72" t="s">
        <v>252</v>
      </c>
      <c r="AS132" s="72" t="s">
        <v>250</v>
      </c>
      <c r="AT132" s="71"/>
      <c r="AU132" s="72"/>
    </row>
    <row r="133" spans="1:47" ht="33.75" x14ac:dyDescent="0.2">
      <c r="A133" s="216">
        <v>280</v>
      </c>
      <c r="B133" s="33" t="s">
        <v>90</v>
      </c>
      <c r="C133" s="33" t="s">
        <v>78</v>
      </c>
      <c r="D133" s="33" t="s">
        <v>375</v>
      </c>
      <c r="E133" s="33"/>
      <c r="F133" s="33" t="s">
        <v>374</v>
      </c>
      <c r="G133" s="45" t="s">
        <v>69</v>
      </c>
      <c r="H133" s="45" t="s">
        <v>28</v>
      </c>
      <c r="I133" s="75">
        <v>998049</v>
      </c>
      <c r="J133" s="195">
        <v>4</v>
      </c>
      <c r="K133" s="93">
        <v>3992196</v>
      </c>
      <c r="L133" s="59">
        <v>45136</v>
      </c>
      <c r="M133" s="58">
        <v>45260</v>
      </c>
      <c r="N133" s="78">
        <v>3992196</v>
      </c>
      <c r="O133" s="99"/>
      <c r="P133" s="99"/>
      <c r="Q133" s="201">
        <v>0</v>
      </c>
      <c r="R133" s="93">
        <v>3992196</v>
      </c>
      <c r="S133" s="202" t="s">
        <v>243</v>
      </c>
      <c r="T133" s="203" t="s">
        <v>373</v>
      </c>
      <c r="U133" s="204" t="s">
        <v>361</v>
      </c>
      <c r="V133" s="83" t="s">
        <v>244</v>
      </c>
      <c r="W133" s="84" t="str">
        <f t="shared" si="3"/>
        <v>CLE-280</v>
      </c>
      <c r="X133" s="202">
        <v>80111600</v>
      </c>
      <c r="Y133" s="34" t="s">
        <v>574</v>
      </c>
      <c r="Z133" s="61" t="s">
        <v>393</v>
      </c>
      <c r="AA133" s="61" t="s">
        <v>393</v>
      </c>
      <c r="AB133" s="62">
        <v>4</v>
      </c>
      <c r="AC133" s="63" t="s">
        <v>241</v>
      </c>
      <c r="AD133" s="64" t="s">
        <v>242</v>
      </c>
      <c r="AE133" s="205">
        <v>3992196</v>
      </c>
      <c r="AF133" s="205">
        <v>3992196</v>
      </c>
      <c r="AG133" s="63" t="s">
        <v>244</v>
      </c>
      <c r="AH133" s="64" t="s">
        <v>245</v>
      </c>
      <c r="AI133" s="66" t="s">
        <v>246</v>
      </c>
      <c r="AJ133" s="67" t="s">
        <v>247</v>
      </c>
      <c r="AK133" s="68" t="s">
        <v>372</v>
      </c>
      <c r="AL133" s="69" t="s">
        <v>248</v>
      </c>
      <c r="AM133" s="70" t="s">
        <v>249</v>
      </c>
      <c r="AN133" s="65" t="s">
        <v>244</v>
      </c>
      <c r="AO133" s="65" t="s">
        <v>244</v>
      </c>
      <c r="AP133" s="71" t="s">
        <v>250</v>
      </c>
      <c r="AQ133" s="72" t="s">
        <v>251</v>
      </c>
      <c r="AR133" s="72" t="s">
        <v>252</v>
      </c>
      <c r="AS133" s="72" t="s">
        <v>250</v>
      </c>
      <c r="AT133" s="71"/>
      <c r="AU133" s="72"/>
    </row>
    <row r="134" spans="1:47" ht="33.75" x14ac:dyDescent="0.2">
      <c r="A134" s="216">
        <v>281</v>
      </c>
      <c r="B134" s="33" t="s">
        <v>90</v>
      </c>
      <c r="C134" s="33" t="s">
        <v>78</v>
      </c>
      <c r="D134" s="33" t="s">
        <v>375</v>
      </c>
      <c r="E134" s="33"/>
      <c r="F134" s="45" t="s">
        <v>374</v>
      </c>
      <c r="G134" s="45" t="s">
        <v>67</v>
      </c>
      <c r="H134" s="45" t="s">
        <v>28</v>
      </c>
      <c r="I134" s="95">
        <v>1186916</v>
      </c>
      <c r="J134" s="195">
        <v>4</v>
      </c>
      <c r="K134" s="100">
        <v>4747664</v>
      </c>
      <c r="L134" s="59">
        <v>45136</v>
      </c>
      <c r="M134" s="58">
        <v>45260</v>
      </c>
      <c r="N134" s="80">
        <v>4747664</v>
      </c>
      <c r="O134" s="86"/>
      <c r="P134" s="86"/>
      <c r="Q134" s="78">
        <v>0</v>
      </c>
      <c r="R134" s="93">
        <v>4747664</v>
      </c>
      <c r="S134" s="87" t="s">
        <v>243</v>
      </c>
      <c r="T134" s="82" t="s">
        <v>373</v>
      </c>
      <c r="U134" s="88" t="s">
        <v>361</v>
      </c>
      <c r="V134" s="83" t="s">
        <v>244</v>
      </c>
      <c r="W134" s="84" t="str">
        <f t="shared" si="3"/>
        <v>CLE-281</v>
      </c>
      <c r="X134" s="87">
        <v>80111600</v>
      </c>
      <c r="Y134" s="34" t="s">
        <v>574</v>
      </c>
      <c r="Z134" s="61" t="s">
        <v>393</v>
      </c>
      <c r="AA134" s="61" t="s">
        <v>393</v>
      </c>
      <c r="AB134" s="62">
        <v>4</v>
      </c>
      <c r="AC134" s="63" t="s">
        <v>241</v>
      </c>
      <c r="AD134" s="64" t="s">
        <v>242</v>
      </c>
      <c r="AE134" s="50">
        <v>4747664</v>
      </c>
      <c r="AF134" s="50">
        <v>4747664</v>
      </c>
      <c r="AG134" s="65" t="s">
        <v>244</v>
      </c>
      <c r="AH134" s="65" t="s">
        <v>245</v>
      </c>
      <c r="AI134" s="66" t="s">
        <v>246</v>
      </c>
      <c r="AJ134" s="67" t="s">
        <v>247</v>
      </c>
      <c r="AK134" s="68" t="s">
        <v>372</v>
      </c>
      <c r="AL134" s="69" t="s">
        <v>248</v>
      </c>
      <c r="AM134" s="70" t="s">
        <v>249</v>
      </c>
      <c r="AN134" s="65" t="s">
        <v>244</v>
      </c>
      <c r="AO134" s="65" t="s">
        <v>244</v>
      </c>
      <c r="AP134" s="71" t="s">
        <v>250</v>
      </c>
      <c r="AQ134" s="72" t="s">
        <v>251</v>
      </c>
      <c r="AR134" s="72" t="s">
        <v>252</v>
      </c>
      <c r="AS134" s="72" t="s">
        <v>250</v>
      </c>
      <c r="AT134" s="72"/>
      <c r="AU134" s="72"/>
    </row>
    <row r="135" spans="1:47" ht="33.75" x14ac:dyDescent="0.2">
      <c r="A135" s="216">
        <v>282</v>
      </c>
      <c r="B135" s="33" t="s">
        <v>90</v>
      </c>
      <c r="C135" s="33" t="s">
        <v>78</v>
      </c>
      <c r="D135" s="33" t="s">
        <v>375</v>
      </c>
      <c r="E135" s="33"/>
      <c r="F135" s="33" t="s">
        <v>374</v>
      </c>
      <c r="G135" s="45" t="s">
        <v>69</v>
      </c>
      <c r="H135" s="45" t="s">
        <v>28</v>
      </c>
      <c r="I135" s="75">
        <v>998049</v>
      </c>
      <c r="J135" s="195">
        <v>4</v>
      </c>
      <c r="K135" s="93">
        <v>3992196</v>
      </c>
      <c r="L135" s="59">
        <v>45136</v>
      </c>
      <c r="M135" s="58">
        <v>45260</v>
      </c>
      <c r="N135" s="78">
        <v>3992196</v>
      </c>
      <c r="O135" s="99"/>
      <c r="P135" s="99"/>
      <c r="Q135" s="201">
        <v>0</v>
      </c>
      <c r="R135" s="93">
        <v>3992196</v>
      </c>
      <c r="S135" s="202" t="s">
        <v>243</v>
      </c>
      <c r="T135" s="203" t="s">
        <v>373</v>
      </c>
      <c r="U135" s="204" t="s">
        <v>361</v>
      </c>
      <c r="V135" s="83" t="s">
        <v>244</v>
      </c>
      <c r="W135" s="84" t="str">
        <f t="shared" si="3"/>
        <v>CLE-282</v>
      </c>
      <c r="X135" s="202">
        <v>80111600</v>
      </c>
      <c r="Y135" s="34" t="s">
        <v>574</v>
      </c>
      <c r="Z135" s="61" t="s">
        <v>393</v>
      </c>
      <c r="AA135" s="61" t="s">
        <v>393</v>
      </c>
      <c r="AB135" s="62">
        <v>4</v>
      </c>
      <c r="AC135" s="63" t="s">
        <v>241</v>
      </c>
      <c r="AD135" s="64" t="s">
        <v>242</v>
      </c>
      <c r="AE135" s="205">
        <v>3992196</v>
      </c>
      <c r="AF135" s="205">
        <v>3992196</v>
      </c>
      <c r="AG135" s="63" t="s">
        <v>244</v>
      </c>
      <c r="AH135" s="64" t="s">
        <v>245</v>
      </c>
      <c r="AI135" s="66" t="s">
        <v>246</v>
      </c>
      <c r="AJ135" s="67" t="s">
        <v>247</v>
      </c>
      <c r="AK135" s="68" t="s">
        <v>372</v>
      </c>
      <c r="AL135" s="69" t="s">
        <v>248</v>
      </c>
      <c r="AM135" s="70" t="s">
        <v>249</v>
      </c>
      <c r="AN135" s="65" t="s">
        <v>244</v>
      </c>
      <c r="AO135" s="65" t="s">
        <v>244</v>
      </c>
      <c r="AP135" s="71" t="s">
        <v>250</v>
      </c>
      <c r="AQ135" s="72" t="s">
        <v>251</v>
      </c>
      <c r="AR135" s="72" t="s">
        <v>252</v>
      </c>
      <c r="AS135" s="72" t="s">
        <v>250</v>
      </c>
      <c r="AT135" s="71"/>
      <c r="AU135" s="72"/>
    </row>
    <row r="136" spans="1:47" ht="33.75" x14ac:dyDescent="0.2">
      <c r="A136" s="216">
        <v>283</v>
      </c>
      <c r="B136" s="33" t="s">
        <v>90</v>
      </c>
      <c r="C136" s="33" t="s">
        <v>78</v>
      </c>
      <c r="D136" s="33" t="s">
        <v>375</v>
      </c>
      <c r="E136" s="33"/>
      <c r="F136" s="45" t="s">
        <v>374</v>
      </c>
      <c r="G136" s="45" t="s">
        <v>69</v>
      </c>
      <c r="H136" s="45" t="s">
        <v>28</v>
      </c>
      <c r="I136" s="95">
        <v>998049</v>
      </c>
      <c r="J136" s="195">
        <v>4</v>
      </c>
      <c r="K136" s="100">
        <v>3992196</v>
      </c>
      <c r="L136" s="59">
        <v>45136</v>
      </c>
      <c r="M136" s="58">
        <v>45260</v>
      </c>
      <c r="N136" s="80">
        <v>3992196</v>
      </c>
      <c r="O136" s="86"/>
      <c r="P136" s="86"/>
      <c r="Q136" s="78">
        <v>0</v>
      </c>
      <c r="R136" s="93">
        <v>3992196</v>
      </c>
      <c r="S136" s="87" t="s">
        <v>243</v>
      </c>
      <c r="T136" s="82" t="s">
        <v>373</v>
      </c>
      <c r="U136" s="88" t="s">
        <v>361</v>
      </c>
      <c r="V136" s="83" t="s">
        <v>244</v>
      </c>
      <c r="W136" s="84" t="str">
        <f t="shared" si="3"/>
        <v>CLE-283</v>
      </c>
      <c r="X136" s="87">
        <v>80111600</v>
      </c>
      <c r="Y136" s="34" t="s">
        <v>574</v>
      </c>
      <c r="Z136" s="61" t="s">
        <v>393</v>
      </c>
      <c r="AA136" s="61" t="s">
        <v>393</v>
      </c>
      <c r="AB136" s="62">
        <v>4</v>
      </c>
      <c r="AC136" s="63" t="s">
        <v>241</v>
      </c>
      <c r="AD136" s="64" t="s">
        <v>242</v>
      </c>
      <c r="AE136" s="50">
        <v>3992196</v>
      </c>
      <c r="AF136" s="50">
        <v>3992196</v>
      </c>
      <c r="AG136" s="65" t="s">
        <v>244</v>
      </c>
      <c r="AH136" s="65" t="s">
        <v>245</v>
      </c>
      <c r="AI136" s="66" t="s">
        <v>246</v>
      </c>
      <c r="AJ136" s="67" t="s">
        <v>247</v>
      </c>
      <c r="AK136" s="68" t="s">
        <v>372</v>
      </c>
      <c r="AL136" s="69" t="s">
        <v>248</v>
      </c>
      <c r="AM136" s="70" t="s">
        <v>249</v>
      </c>
      <c r="AN136" s="65" t="s">
        <v>244</v>
      </c>
      <c r="AO136" s="65" t="s">
        <v>244</v>
      </c>
      <c r="AP136" s="71" t="s">
        <v>250</v>
      </c>
      <c r="AQ136" s="72" t="s">
        <v>251</v>
      </c>
      <c r="AR136" s="72" t="s">
        <v>252</v>
      </c>
      <c r="AS136" s="72" t="s">
        <v>250</v>
      </c>
      <c r="AT136" s="72"/>
      <c r="AU136" s="72"/>
    </row>
    <row r="137" spans="1:47" ht="33.75" x14ac:dyDescent="0.2">
      <c r="A137" s="216">
        <v>284</v>
      </c>
      <c r="B137" s="33" t="s">
        <v>90</v>
      </c>
      <c r="C137" s="33" t="s">
        <v>78</v>
      </c>
      <c r="D137" s="33" t="s">
        <v>375</v>
      </c>
      <c r="E137" s="33"/>
      <c r="F137" s="33" t="s">
        <v>374</v>
      </c>
      <c r="G137" s="45" t="s">
        <v>69</v>
      </c>
      <c r="H137" s="45" t="s">
        <v>28</v>
      </c>
      <c r="I137" s="75">
        <v>998049</v>
      </c>
      <c r="J137" s="195">
        <v>4</v>
      </c>
      <c r="K137" s="93">
        <v>3992196</v>
      </c>
      <c r="L137" s="59">
        <v>45136</v>
      </c>
      <c r="M137" s="58">
        <v>45260</v>
      </c>
      <c r="N137" s="78">
        <v>3992196</v>
      </c>
      <c r="O137" s="99"/>
      <c r="P137" s="99"/>
      <c r="Q137" s="201">
        <v>0</v>
      </c>
      <c r="R137" s="93">
        <v>3992196</v>
      </c>
      <c r="S137" s="202" t="s">
        <v>243</v>
      </c>
      <c r="T137" s="203" t="s">
        <v>373</v>
      </c>
      <c r="U137" s="204" t="s">
        <v>361</v>
      </c>
      <c r="V137" s="83" t="s">
        <v>244</v>
      </c>
      <c r="W137" s="84" t="str">
        <f t="shared" si="3"/>
        <v>CLE-284</v>
      </c>
      <c r="X137" s="202">
        <v>80111600</v>
      </c>
      <c r="Y137" s="34" t="s">
        <v>574</v>
      </c>
      <c r="Z137" s="61" t="s">
        <v>393</v>
      </c>
      <c r="AA137" s="61" t="s">
        <v>393</v>
      </c>
      <c r="AB137" s="62">
        <v>4</v>
      </c>
      <c r="AC137" s="63" t="s">
        <v>241</v>
      </c>
      <c r="AD137" s="64" t="s">
        <v>242</v>
      </c>
      <c r="AE137" s="205">
        <v>3992196</v>
      </c>
      <c r="AF137" s="205">
        <v>3992196</v>
      </c>
      <c r="AG137" s="63" t="s">
        <v>244</v>
      </c>
      <c r="AH137" s="64" t="s">
        <v>245</v>
      </c>
      <c r="AI137" s="66" t="s">
        <v>246</v>
      </c>
      <c r="AJ137" s="67" t="s">
        <v>247</v>
      </c>
      <c r="AK137" s="68" t="s">
        <v>372</v>
      </c>
      <c r="AL137" s="69" t="s">
        <v>248</v>
      </c>
      <c r="AM137" s="70" t="s">
        <v>249</v>
      </c>
      <c r="AN137" s="65" t="s">
        <v>244</v>
      </c>
      <c r="AO137" s="65" t="s">
        <v>244</v>
      </c>
      <c r="AP137" s="71" t="s">
        <v>250</v>
      </c>
      <c r="AQ137" s="72" t="s">
        <v>251</v>
      </c>
      <c r="AR137" s="72" t="s">
        <v>252</v>
      </c>
      <c r="AS137" s="72" t="s">
        <v>250</v>
      </c>
      <c r="AT137" s="71"/>
      <c r="AU137" s="72"/>
    </row>
    <row r="138" spans="1:47" ht="33.75" x14ac:dyDescent="0.2">
      <c r="A138" s="216">
        <v>285</v>
      </c>
      <c r="B138" s="33" t="s">
        <v>90</v>
      </c>
      <c r="C138" s="33" t="s">
        <v>78</v>
      </c>
      <c r="D138" s="33" t="s">
        <v>375</v>
      </c>
      <c r="E138" s="33"/>
      <c r="F138" s="33" t="s">
        <v>374</v>
      </c>
      <c r="G138" s="45" t="s">
        <v>69</v>
      </c>
      <c r="H138" s="45" t="s">
        <v>28</v>
      </c>
      <c r="I138" s="75">
        <v>998049</v>
      </c>
      <c r="J138" s="195">
        <v>4</v>
      </c>
      <c r="K138" s="93">
        <v>3992196</v>
      </c>
      <c r="L138" s="59">
        <v>45136</v>
      </c>
      <c r="M138" s="58">
        <v>45260</v>
      </c>
      <c r="N138" s="78">
        <v>3992196</v>
      </c>
      <c r="O138" s="99"/>
      <c r="P138" s="99"/>
      <c r="Q138" s="201">
        <v>0</v>
      </c>
      <c r="R138" s="93">
        <v>3992196</v>
      </c>
      <c r="S138" s="202" t="s">
        <v>243</v>
      </c>
      <c r="T138" s="203" t="s">
        <v>373</v>
      </c>
      <c r="U138" s="204" t="s">
        <v>361</v>
      </c>
      <c r="V138" s="83" t="s">
        <v>244</v>
      </c>
      <c r="W138" s="84" t="str">
        <f t="shared" si="3"/>
        <v>CLE-285</v>
      </c>
      <c r="X138" s="202">
        <v>80111600</v>
      </c>
      <c r="Y138" s="34" t="s">
        <v>574</v>
      </c>
      <c r="Z138" s="61" t="s">
        <v>393</v>
      </c>
      <c r="AA138" s="61" t="s">
        <v>393</v>
      </c>
      <c r="AB138" s="62">
        <v>4</v>
      </c>
      <c r="AC138" s="63" t="s">
        <v>241</v>
      </c>
      <c r="AD138" s="64" t="s">
        <v>242</v>
      </c>
      <c r="AE138" s="205">
        <v>3992196</v>
      </c>
      <c r="AF138" s="205">
        <v>3992196</v>
      </c>
      <c r="AG138" s="63" t="s">
        <v>244</v>
      </c>
      <c r="AH138" s="64" t="s">
        <v>245</v>
      </c>
      <c r="AI138" s="66" t="s">
        <v>246</v>
      </c>
      <c r="AJ138" s="67" t="s">
        <v>247</v>
      </c>
      <c r="AK138" s="68" t="s">
        <v>372</v>
      </c>
      <c r="AL138" s="69" t="s">
        <v>248</v>
      </c>
      <c r="AM138" s="70" t="s">
        <v>249</v>
      </c>
      <c r="AN138" s="65" t="s">
        <v>244</v>
      </c>
      <c r="AO138" s="65" t="s">
        <v>244</v>
      </c>
      <c r="AP138" s="71" t="s">
        <v>250</v>
      </c>
      <c r="AQ138" s="72" t="s">
        <v>251</v>
      </c>
      <c r="AR138" s="72" t="s">
        <v>252</v>
      </c>
      <c r="AS138" s="72" t="s">
        <v>250</v>
      </c>
      <c r="AT138" s="71"/>
      <c r="AU138" s="72"/>
    </row>
    <row r="139" spans="1:47" ht="33.75" x14ac:dyDescent="0.2">
      <c r="A139" s="216">
        <v>286</v>
      </c>
      <c r="B139" s="33" t="s">
        <v>90</v>
      </c>
      <c r="C139" s="33" t="s">
        <v>78</v>
      </c>
      <c r="D139" s="33" t="s">
        <v>375</v>
      </c>
      <c r="E139" s="33"/>
      <c r="F139" s="33" t="s">
        <v>374</v>
      </c>
      <c r="G139" s="45" t="s">
        <v>69</v>
      </c>
      <c r="H139" s="45" t="s">
        <v>28</v>
      </c>
      <c r="I139" s="75">
        <v>998049</v>
      </c>
      <c r="J139" s="195">
        <v>4</v>
      </c>
      <c r="K139" s="93">
        <v>3992196</v>
      </c>
      <c r="L139" s="59">
        <v>45136</v>
      </c>
      <c r="M139" s="58">
        <v>45260</v>
      </c>
      <c r="N139" s="78">
        <v>3992196</v>
      </c>
      <c r="O139" s="99"/>
      <c r="P139" s="99"/>
      <c r="Q139" s="201">
        <v>0</v>
      </c>
      <c r="R139" s="93">
        <v>3992196</v>
      </c>
      <c r="S139" s="202" t="s">
        <v>243</v>
      </c>
      <c r="T139" s="203" t="s">
        <v>373</v>
      </c>
      <c r="U139" s="204" t="s">
        <v>361</v>
      </c>
      <c r="V139" s="83" t="s">
        <v>244</v>
      </c>
      <c r="W139" s="84" t="str">
        <f t="shared" si="3"/>
        <v>CLE-286</v>
      </c>
      <c r="X139" s="202">
        <v>80111600</v>
      </c>
      <c r="Y139" s="34" t="s">
        <v>574</v>
      </c>
      <c r="Z139" s="61" t="s">
        <v>393</v>
      </c>
      <c r="AA139" s="61" t="s">
        <v>393</v>
      </c>
      <c r="AB139" s="62">
        <v>4</v>
      </c>
      <c r="AC139" s="63" t="s">
        <v>241</v>
      </c>
      <c r="AD139" s="64" t="s">
        <v>242</v>
      </c>
      <c r="AE139" s="205">
        <v>3992196</v>
      </c>
      <c r="AF139" s="205">
        <v>3992196</v>
      </c>
      <c r="AG139" s="63" t="s">
        <v>244</v>
      </c>
      <c r="AH139" s="64" t="s">
        <v>245</v>
      </c>
      <c r="AI139" s="66" t="s">
        <v>246</v>
      </c>
      <c r="AJ139" s="67" t="s">
        <v>247</v>
      </c>
      <c r="AK139" s="68" t="s">
        <v>372</v>
      </c>
      <c r="AL139" s="69" t="s">
        <v>248</v>
      </c>
      <c r="AM139" s="70" t="s">
        <v>249</v>
      </c>
      <c r="AN139" s="65" t="s">
        <v>244</v>
      </c>
      <c r="AO139" s="65" t="s">
        <v>244</v>
      </c>
      <c r="AP139" s="71" t="s">
        <v>250</v>
      </c>
      <c r="AQ139" s="72" t="s">
        <v>251</v>
      </c>
      <c r="AR139" s="72" t="s">
        <v>252</v>
      </c>
      <c r="AS139" s="72" t="s">
        <v>250</v>
      </c>
      <c r="AT139" s="71"/>
      <c r="AU139" s="72"/>
    </row>
    <row r="140" spans="1:47" ht="33.75" x14ac:dyDescent="0.2">
      <c r="A140" s="216">
        <v>287</v>
      </c>
      <c r="B140" s="33" t="s">
        <v>90</v>
      </c>
      <c r="C140" s="33" t="s">
        <v>78</v>
      </c>
      <c r="D140" s="33" t="s">
        <v>375</v>
      </c>
      <c r="E140" s="33"/>
      <c r="F140" s="33" t="s">
        <v>374</v>
      </c>
      <c r="G140" s="45" t="s">
        <v>69</v>
      </c>
      <c r="H140" s="45" t="s">
        <v>28</v>
      </c>
      <c r="I140" s="75">
        <v>998049</v>
      </c>
      <c r="J140" s="195">
        <v>4</v>
      </c>
      <c r="K140" s="93">
        <v>3992196</v>
      </c>
      <c r="L140" s="59">
        <v>45136</v>
      </c>
      <c r="M140" s="58">
        <v>45260</v>
      </c>
      <c r="N140" s="78">
        <v>3992196</v>
      </c>
      <c r="O140" s="99"/>
      <c r="P140" s="99"/>
      <c r="Q140" s="201">
        <v>0</v>
      </c>
      <c r="R140" s="93">
        <v>3992196</v>
      </c>
      <c r="S140" s="202" t="s">
        <v>243</v>
      </c>
      <c r="T140" s="203" t="s">
        <v>373</v>
      </c>
      <c r="U140" s="204" t="s">
        <v>361</v>
      </c>
      <c r="V140" s="83" t="s">
        <v>244</v>
      </c>
      <c r="W140" s="84" t="str">
        <f t="shared" si="3"/>
        <v>CLE-287</v>
      </c>
      <c r="X140" s="202">
        <v>80111600</v>
      </c>
      <c r="Y140" s="34" t="s">
        <v>574</v>
      </c>
      <c r="Z140" s="61" t="s">
        <v>393</v>
      </c>
      <c r="AA140" s="61" t="s">
        <v>393</v>
      </c>
      <c r="AB140" s="62">
        <v>4</v>
      </c>
      <c r="AC140" s="63" t="s">
        <v>241</v>
      </c>
      <c r="AD140" s="64" t="s">
        <v>242</v>
      </c>
      <c r="AE140" s="205">
        <v>3992196</v>
      </c>
      <c r="AF140" s="205">
        <v>3992196</v>
      </c>
      <c r="AG140" s="63" t="s">
        <v>244</v>
      </c>
      <c r="AH140" s="64" t="s">
        <v>245</v>
      </c>
      <c r="AI140" s="66" t="s">
        <v>246</v>
      </c>
      <c r="AJ140" s="67" t="s">
        <v>247</v>
      </c>
      <c r="AK140" s="68" t="s">
        <v>372</v>
      </c>
      <c r="AL140" s="69" t="s">
        <v>248</v>
      </c>
      <c r="AM140" s="70" t="s">
        <v>249</v>
      </c>
      <c r="AN140" s="65" t="s">
        <v>244</v>
      </c>
      <c r="AO140" s="65" t="s">
        <v>244</v>
      </c>
      <c r="AP140" s="71" t="s">
        <v>250</v>
      </c>
      <c r="AQ140" s="72" t="s">
        <v>251</v>
      </c>
      <c r="AR140" s="72" t="s">
        <v>252</v>
      </c>
      <c r="AS140" s="72" t="s">
        <v>250</v>
      </c>
      <c r="AT140" s="71"/>
      <c r="AU140" s="72"/>
    </row>
    <row r="141" spans="1:47" ht="33.75" x14ac:dyDescent="0.2">
      <c r="A141" s="216">
        <v>288</v>
      </c>
      <c r="B141" s="33" t="s">
        <v>90</v>
      </c>
      <c r="C141" s="33" t="s">
        <v>78</v>
      </c>
      <c r="D141" s="33" t="s">
        <v>375</v>
      </c>
      <c r="E141" s="33"/>
      <c r="F141" s="45" t="s">
        <v>374</v>
      </c>
      <c r="G141" s="45" t="s">
        <v>67</v>
      </c>
      <c r="H141" s="45" t="s">
        <v>28</v>
      </c>
      <c r="I141" s="95">
        <v>1186916</v>
      </c>
      <c r="J141" s="195">
        <v>4</v>
      </c>
      <c r="K141" s="100">
        <v>4747664</v>
      </c>
      <c r="L141" s="59">
        <v>45136</v>
      </c>
      <c r="M141" s="58">
        <v>45260</v>
      </c>
      <c r="N141" s="80">
        <v>4747664</v>
      </c>
      <c r="O141" s="86"/>
      <c r="P141" s="86"/>
      <c r="Q141" s="78">
        <v>0</v>
      </c>
      <c r="R141" s="93">
        <v>4747664</v>
      </c>
      <c r="S141" s="87" t="s">
        <v>243</v>
      </c>
      <c r="T141" s="82" t="s">
        <v>373</v>
      </c>
      <c r="U141" s="88" t="s">
        <v>361</v>
      </c>
      <c r="V141" s="83" t="s">
        <v>244</v>
      </c>
      <c r="W141" s="84" t="str">
        <f t="shared" si="3"/>
        <v>CLE-288</v>
      </c>
      <c r="X141" s="87">
        <v>80111600</v>
      </c>
      <c r="Y141" s="34" t="s">
        <v>574</v>
      </c>
      <c r="Z141" s="61" t="s">
        <v>393</v>
      </c>
      <c r="AA141" s="61" t="s">
        <v>393</v>
      </c>
      <c r="AB141" s="62">
        <v>4</v>
      </c>
      <c r="AC141" s="63" t="s">
        <v>241</v>
      </c>
      <c r="AD141" s="64" t="s">
        <v>242</v>
      </c>
      <c r="AE141" s="50">
        <v>4747664</v>
      </c>
      <c r="AF141" s="50">
        <v>4747664</v>
      </c>
      <c r="AG141" s="65" t="s">
        <v>244</v>
      </c>
      <c r="AH141" s="65" t="s">
        <v>245</v>
      </c>
      <c r="AI141" s="66" t="s">
        <v>246</v>
      </c>
      <c r="AJ141" s="67" t="s">
        <v>247</v>
      </c>
      <c r="AK141" s="68" t="s">
        <v>372</v>
      </c>
      <c r="AL141" s="69" t="s">
        <v>248</v>
      </c>
      <c r="AM141" s="70" t="s">
        <v>249</v>
      </c>
      <c r="AN141" s="65" t="s">
        <v>244</v>
      </c>
      <c r="AO141" s="65" t="s">
        <v>244</v>
      </c>
      <c r="AP141" s="71" t="s">
        <v>250</v>
      </c>
      <c r="AQ141" s="72" t="s">
        <v>251</v>
      </c>
      <c r="AR141" s="72" t="s">
        <v>252</v>
      </c>
      <c r="AS141" s="72" t="s">
        <v>250</v>
      </c>
      <c r="AT141" s="72"/>
      <c r="AU141" s="72"/>
    </row>
    <row r="142" spans="1:47" ht="61.5" customHeight="1" x14ac:dyDescent="0.2">
      <c r="A142" s="216">
        <v>291</v>
      </c>
      <c r="B142" s="33" t="s">
        <v>90</v>
      </c>
      <c r="C142" s="33" t="s">
        <v>78</v>
      </c>
      <c r="D142" s="33" t="s">
        <v>375</v>
      </c>
      <c r="E142" s="33"/>
      <c r="F142" s="45" t="s">
        <v>374</v>
      </c>
      <c r="G142" s="45" t="s">
        <v>69</v>
      </c>
      <c r="H142" s="45" t="s">
        <v>28</v>
      </c>
      <c r="I142" s="75">
        <v>3002729</v>
      </c>
      <c r="J142" s="195">
        <v>4</v>
      </c>
      <c r="K142" s="93">
        <v>12010916</v>
      </c>
      <c r="L142" s="59">
        <v>45136</v>
      </c>
      <c r="M142" s="58">
        <v>45260</v>
      </c>
      <c r="N142" s="78">
        <v>12010916</v>
      </c>
      <c r="O142" s="86"/>
      <c r="P142" s="86"/>
      <c r="Q142" s="78">
        <v>0</v>
      </c>
      <c r="R142" s="93">
        <v>12010916</v>
      </c>
      <c r="S142" s="87" t="s">
        <v>243</v>
      </c>
      <c r="T142" s="82" t="s">
        <v>373</v>
      </c>
      <c r="U142" s="88" t="s">
        <v>361</v>
      </c>
      <c r="V142" s="88" t="s">
        <v>244</v>
      </c>
      <c r="W142" s="84" t="str">
        <f t="shared" si="3"/>
        <v>CLE-291</v>
      </c>
      <c r="X142" s="87">
        <v>80111600</v>
      </c>
      <c r="Y142" s="34" t="s">
        <v>574</v>
      </c>
      <c r="Z142" s="61" t="s">
        <v>393</v>
      </c>
      <c r="AA142" s="61" t="s">
        <v>393</v>
      </c>
      <c r="AB142" s="62">
        <v>4</v>
      </c>
      <c r="AC142" s="63" t="s">
        <v>241</v>
      </c>
      <c r="AD142" s="64" t="s">
        <v>242</v>
      </c>
      <c r="AE142" s="50">
        <v>12010916</v>
      </c>
      <c r="AF142" s="50">
        <v>12010916</v>
      </c>
      <c r="AG142" s="65" t="s">
        <v>244</v>
      </c>
      <c r="AH142" s="65" t="s">
        <v>245</v>
      </c>
      <c r="AI142" s="66" t="s">
        <v>246</v>
      </c>
      <c r="AJ142" s="67" t="s">
        <v>247</v>
      </c>
      <c r="AK142" s="68" t="s">
        <v>372</v>
      </c>
      <c r="AL142" s="69" t="s">
        <v>248</v>
      </c>
      <c r="AM142" s="70" t="s">
        <v>249</v>
      </c>
      <c r="AN142" s="65" t="s">
        <v>244</v>
      </c>
      <c r="AO142" s="65" t="s">
        <v>244</v>
      </c>
      <c r="AP142" s="71" t="s">
        <v>250</v>
      </c>
      <c r="AQ142" s="72" t="s">
        <v>251</v>
      </c>
      <c r="AR142" s="72" t="s">
        <v>252</v>
      </c>
      <c r="AS142" s="72" t="s">
        <v>250</v>
      </c>
      <c r="AT142" s="72"/>
      <c r="AU142" s="72"/>
    </row>
    <row r="143" spans="1:47" ht="53.25" customHeight="1" x14ac:dyDescent="0.2">
      <c r="A143" s="216">
        <v>292</v>
      </c>
      <c r="B143" s="33" t="s">
        <v>90</v>
      </c>
      <c r="C143" s="33" t="s">
        <v>78</v>
      </c>
      <c r="D143" s="33" t="s">
        <v>375</v>
      </c>
      <c r="E143" s="33"/>
      <c r="F143" s="45" t="s">
        <v>374</v>
      </c>
      <c r="G143" s="45" t="s">
        <v>69</v>
      </c>
      <c r="H143" s="45" t="s">
        <v>28</v>
      </c>
      <c r="I143" s="75">
        <v>3002729</v>
      </c>
      <c r="J143" s="195">
        <v>4</v>
      </c>
      <c r="K143" s="93">
        <v>6649218</v>
      </c>
      <c r="L143" s="59">
        <v>45136</v>
      </c>
      <c r="M143" s="58">
        <v>45260</v>
      </c>
      <c r="N143" s="78">
        <v>6649218</v>
      </c>
      <c r="O143" s="86"/>
      <c r="P143" s="86"/>
      <c r="Q143" s="78">
        <v>0</v>
      </c>
      <c r="R143" s="93">
        <v>6649218</v>
      </c>
      <c r="S143" s="87" t="s">
        <v>243</v>
      </c>
      <c r="T143" s="82" t="s">
        <v>373</v>
      </c>
      <c r="U143" s="88" t="s">
        <v>361</v>
      </c>
      <c r="V143" s="88" t="s">
        <v>244</v>
      </c>
      <c r="W143" s="84" t="str">
        <f t="shared" si="3"/>
        <v>CLE-292</v>
      </c>
      <c r="X143" s="87">
        <v>80111600</v>
      </c>
      <c r="Y143" s="34" t="s">
        <v>574</v>
      </c>
      <c r="Z143" s="61" t="s">
        <v>393</v>
      </c>
      <c r="AA143" s="61" t="s">
        <v>393</v>
      </c>
      <c r="AB143" s="62">
        <v>4</v>
      </c>
      <c r="AC143" s="63" t="s">
        <v>241</v>
      </c>
      <c r="AD143" s="64" t="s">
        <v>242</v>
      </c>
      <c r="AE143" s="50">
        <v>6649218</v>
      </c>
      <c r="AF143" s="50">
        <v>6649218</v>
      </c>
      <c r="AG143" s="65" t="s">
        <v>244</v>
      </c>
      <c r="AH143" s="65" t="s">
        <v>245</v>
      </c>
      <c r="AI143" s="66" t="s">
        <v>246</v>
      </c>
      <c r="AJ143" s="67" t="s">
        <v>247</v>
      </c>
      <c r="AK143" s="68" t="s">
        <v>372</v>
      </c>
      <c r="AL143" s="69" t="s">
        <v>248</v>
      </c>
      <c r="AM143" s="70" t="s">
        <v>249</v>
      </c>
      <c r="AN143" s="65" t="s">
        <v>244</v>
      </c>
      <c r="AO143" s="65" t="s">
        <v>244</v>
      </c>
      <c r="AP143" s="71" t="s">
        <v>250</v>
      </c>
      <c r="AQ143" s="72" t="s">
        <v>251</v>
      </c>
      <c r="AR143" s="72" t="s">
        <v>252</v>
      </c>
      <c r="AS143" s="72" t="s">
        <v>250</v>
      </c>
      <c r="AT143" s="72"/>
      <c r="AU143" s="72"/>
    </row>
    <row r="144" spans="1:47" ht="56.25" customHeight="1" x14ac:dyDescent="0.2">
      <c r="A144" s="216">
        <v>293</v>
      </c>
      <c r="B144" s="33" t="s">
        <v>90</v>
      </c>
      <c r="C144" s="33" t="s">
        <v>78</v>
      </c>
      <c r="D144" s="33" t="s">
        <v>375</v>
      </c>
      <c r="E144" s="33"/>
      <c r="F144" s="45" t="s">
        <v>374</v>
      </c>
      <c r="G144" s="45" t="s">
        <v>69</v>
      </c>
      <c r="H144" s="45" t="s">
        <v>28</v>
      </c>
      <c r="I144" s="75">
        <v>0</v>
      </c>
      <c r="J144" s="195">
        <v>4</v>
      </c>
      <c r="K144" s="93">
        <v>15013644</v>
      </c>
      <c r="L144" s="59">
        <v>45136</v>
      </c>
      <c r="M144" s="58">
        <v>45260</v>
      </c>
      <c r="N144" s="78">
        <v>15013644</v>
      </c>
      <c r="O144" s="86"/>
      <c r="P144" s="86"/>
      <c r="Q144" s="78">
        <v>0</v>
      </c>
      <c r="R144" s="93">
        <v>15013644</v>
      </c>
      <c r="S144" s="87" t="s">
        <v>243</v>
      </c>
      <c r="T144" s="199" t="s">
        <v>15</v>
      </c>
      <c r="U144" s="88" t="s">
        <v>361</v>
      </c>
      <c r="V144" s="88" t="s">
        <v>244</v>
      </c>
      <c r="W144" s="84" t="str">
        <f t="shared" si="3"/>
        <v>CLE-293</v>
      </c>
      <c r="X144" s="87">
        <v>80111600</v>
      </c>
      <c r="Y144" s="34" t="s">
        <v>574</v>
      </c>
      <c r="Z144" s="61" t="s">
        <v>393</v>
      </c>
      <c r="AA144" s="61" t="s">
        <v>393</v>
      </c>
      <c r="AB144" s="62">
        <v>4</v>
      </c>
      <c r="AC144" s="63" t="s">
        <v>241</v>
      </c>
      <c r="AD144" s="64" t="s">
        <v>242</v>
      </c>
      <c r="AE144" s="50">
        <v>15013644</v>
      </c>
      <c r="AF144" s="50">
        <v>15013644</v>
      </c>
      <c r="AG144" s="65" t="s">
        <v>244</v>
      </c>
      <c r="AH144" s="65" t="s">
        <v>245</v>
      </c>
      <c r="AI144" s="66" t="s">
        <v>246</v>
      </c>
      <c r="AJ144" s="67" t="s">
        <v>247</v>
      </c>
      <c r="AK144" s="68" t="s">
        <v>372</v>
      </c>
      <c r="AL144" s="69" t="s">
        <v>248</v>
      </c>
      <c r="AM144" s="70" t="s">
        <v>249</v>
      </c>
      <c r="AN144" s="65" t="s">
        <v>244</v>
      </c>
      <c r="AO144" s="65" t="s">
        <v>244</v>
      </c>
      <c r="AP144" s="71" t="s">
        <v>250</v>
      </c>
      <c r="AQ144" s="72" t="s">
        <v>251</v>
      </c>
      <c r="AR144" s="72" t="s">
        <v>252</v>
      </c>
      <c r="AS144" s="72" t="s">
        <v>250</v>
      </c>
      <c r="AT144" s="72"/>
      <c r="AU144" s="72"/>
    </row>
    <row r="145" spans="1:47" ht="57.75" customHeight="1" x14ac:dyDescent="0.2">
      <c r="A145" s="216">
        <v>294</v>
      </c>
      <c r="B145" s="33" t="s">
        <v>90</v>
      </c>
      <c r="C145" s="33" t="s">
        <v>78</v>
      </c>
      <c r="D145" s="33" t="s">
        <v>375</v>
      </c>
      <c r="E145" s="33"/>
      <c r="F145" s="45" t="s">
        <v>374</v>
      </c>
      <c r="G145" s="45" t="s">
        <v>69</v>
      </c>
      <c r="H145" s="45" t="s">
        <v>28</v>
      </c>
      <c r="I145" s="75">
        <v>3753411</v>
      </c>
      <c r="J145" s="195">
        <v>4</v>
      </c>
      <c r="K145" s="93">
        <v>6649216</v>
      </c>
      <c r="L145" s="59">
        <v>45136</v>
      </c>
      <c r="M145" s="58">
        <v>45260</v>
      </c>
      <c r="N145" s="78">
        <v>6649216</v>
      </c>
      <c r="O145" s="86"/>
      <c r="P145" s="86"/>
      <c r="Q145" s="78">
        <v>0</v>
      </c>
      <c r="R145" s="93">
        <v>6649216</v>
      </c>
      <c r="S145" s="87" t="s">
        <v>243</v>
      </c>
      <c r="T145" s="82" t="s">
        <v>373</v>
      </c>
      <c r="U145" s="88" t="s">
        <v>361</v>
      </c>
      <c r="V145" s="88" t="s">
        <v>244</v>
      </c>
      <c r="W145" s="84" t="str">
        <f t="shared" si="3"/>
        <v>CLE-294</v>
      </c>
      <c r="X145" s="87">
        <v>80111600</v>
      </c>
      <c r="Y145" s="34" t="s">
        <v>574</v>
      </c>
      <c r="Z145" s="61" t="s">
        <v>393</v>
      </c>
      <c r="AA145" s="61" t="s">
        <v>393</v>
      </c>
      <c r="AB145" s="62">
        <v>4</v>
      </c>
      <c r="AC145" s="63" t="s">
        <v>241</v>
      </c>
      <c r="AD145" s="64" t="s">
        <v>242</v>
      </c>
      <c r="AE145" s="50">
        <v>6649216</v>
      </c>
      <c r="AF145" s="50">
        <v>6649216</v>
      </c>
      <c r="AG145" s="65" t="s">
        <v>244</v>
      </c>
      <c r="AH145" s="65" t="s">
        <v>245</v>
      </c>
      <c r="AI145" s="66" t="s">
        <v>246</v>
      </c>
      <c r="AJ145" s="67" t="s">
        <v>247</v>
      </c>
      <c r="AK145" s="68" t="s">
        <v>372</v>
      </c>
      <c r="AL145" s="69" t="s">
        <v>248</v>
      </c>
      <c r="AM145" s="70" t="s">
        <v>249</v>
      </c>
      <c r="AN145" s="65" t="s">
        <v>244</v>
      </c>
      <c r="AO145" s="65" t="s">
        <v>244</v>
      </c>
      <c r="AP145" s="71" t="s">
        <v>250</v>
      </c>
      <c r="AQ145" s="72" t="s">
        <v>251</v>
      </c>
      <c r="AR145" s="72" t="s">
        <v>252</v>
      </c>
      <c r="AS145" s="72" t="s">
        <v>250</v>
      </c>
      <c r="AT145" s="72"/>
      <c r="AU145" s="72"/>
    </row>
    <row r="146" spans="1:47" ht="33.75" x14ac:dyDescent="0.2">
      <c r="A146" s="216">
        <v>296</v>
      </c>
      <c r="B146" s="33" t="s">
        <v>90</v>
      </c>
      <c r="C146" s="33" t="s">
        <v>78</v>
      </c>
      <c r="D146" s="33" t="s">
        <v>375</v>
      </c>
      <c r="E146" s="33"/>
      <c r="F146" s="45" t="s">
        <v>374</v>
      </c>
      <c r="G146" s="45" t="s">
        <v>69</v>
      </c>
      <c r="H146" s="45" t="s">
        <v>28</v>
      </c>
      <c r="I146" s="75">
        <v>0</v>
      </c>
      <c r="J146" s="195">
        <v>4</v>
      </c>
      <c r="K146" s="217">
        <v>9330066</v>
      </c>
      <c r="L146" s="59">
        <v>45136</v>
      </c>
      <c r="M146" s="58">
        <v>45260</v>
      </c>
      <c r="N146" s="80">
        <v>9330066</v>
      </c>
      <c r="O146" s="86"/>
      <c r="P146" s="86"/>
      <c r="Q146" s="78">
        <v>0</v>
      </c>
      <c r="R146" s="93">
        <v>9330066</v>
      </c>
      <c r="S146" s="87" t="s">
        <v>243</v>
      </c>
      <c r="T146" s="82" t="s">
        <v>373</v>
      </c>
      <c r="U146" s="88" t="s">
        <v>361</v>
      </c>
      <c r="V146" s="83" t="s">
        <v>244</v>
      </c>
      <c r="W146" s="84" t="str">
        <f t="shared" si="3"/>
        <v>CLE-296</v>
      </c>
      <c r="X146" s="87">
        <v>80111600</v>
      </c>
      <c r="Y146" s="34" t="s">
        <v>574</v>
      </c>
      <c r="Z146" s="61" t="s">
        <v>393</v>
      </c>
      <c r="AA146" s="61" t="s">
        <v>393</v>
      </c>
      <c r="AB146" s="62">
        <v>4</v>
      </c>
      <c r="AC146" s="63" t="s">
        <v>241</v>
      </c>
      <c r="AD146" s="64" t="s">
        <v>242</v>
      </c>
      <c r="AE146" s="50">
        <v>9330066</v>
      </c>
      <c r="AF146" s="50">
        <f>AE146</f>
        <v>9330066</v>
      </c>
      <c r="AG146" s="65" t="s">
        <v>244</v>
      </c>
      <c r="AH146" s="65" t="s">
        <v>245</v>
      </c>
      <c r="AI146" s="66" t="s">
        <v>246</v>
      </c>
      <c r="AJ146" s="67" t="s">
        <v>247</v>
      </c>
      <c r="AK146" s="68" t="s">
        <v>372</v>
      </c>
      <c r="AL146" s="69" t="s">
        <v>248</v>
      </c>
      <c r="AM146" s="70" t="s">
        <v>249</v>
      </c>
      <c r="AN146" s="65" t="s">
        <v>244</v>
      </c>
      <c r="AO146" s="65" t="s">
        <v>244</v>
      </c>
      <c r="AP146" s="71" t="s">
        <v>250</v>
      </c>
      <c r="AQ146" s="72" t="s">
        <v>251</v>
      </c>
      <c r="AR146" s="72" t="s">
        <v>252</v>
      </c>
      <c r="AS146" s="72" t="s">
        <v>250</v>
      </c>
      <c r="AT146" s="72"/>
      <c r="AU146" s="72"/>
    </row>
    <row r="147" spans="1:47" ht="33.75" x14ac:dyDescent="0.2">
      <c r="A147" s="216">
        <v>297</v>
      </c>
      <c r="B147" s="33" t="s">
        <v>90</v>
      </c>
      <c r="C147" s="33" t="s">
        <v>78</v>
      </c>
      <c r="D147" s="33" t="s">
        <v>375</v>
      </c>
      <c r="E147" s="33"/>
      <c r="F147" s="45" t="s">
        <v>374</v>
      </c>
      <c r="G147" s="45" t="s">
        <v>69</v>
      </c>
      <c r="H147" s="45" t="s">
        <v>28</v>
      </c>
      <c r="I147" s="75">
        <v>1662304</v>
      </c>
      <c r="J147" s="195">
        <v>4</v>
      </c>
      <c r="K147" s="94">
        <v>6649216</v>
      </c>
      <c r="L147" s="59">
        <v>45136</v>
      </c>
      <c r="M147" s="58">
        <v>45260</v>
      </c>
      <c r="N147" s="80">
        <v>6649216</v>
      </c>
      <c r="O147" s="86"/>
      <c r="P147" s="86"/>
      <c r="Q147" s="78">
        <v>0</v>
      </c>
      <c r="R147" s="93">
        <v>6649216</v>
      </c>
      <c r="S147" s="87" t="s">
        <v>243</v>
      </c>
      <c r="T147" s="82" t="s">
        <v>373</v>
      </c>
      <c r="U147" s="88" t="s">
        <v>361</v>
      </c>
      <c r="V147" s="83" t="s">
        <v>244</v>
      </c>
      <c r="W147" s="84" t="str">
        <f t="shared" si="3"/>
        <v>CLE-297</v>
      </c>
      <c r="X147" s="87">
        <v>80111600</v>
      </c>
      <c r="Y147" s="34" t="s">
        <v>574</v>
      </c>
      <c r="Z147" s="61" t="s">
        <v>393</v>
      </c>
      <c r="AA147" s="61" t="s">
        <v>393</v>
      </c>
      <c r="AB147" s="62">
        <v>4</v>
      </c>
      <c r="AC147" s="63" t="s">
        <v>241</v>
      </c>
      <c r="AD147" s="64" t="s">
        <v>242</v>
      </c>
      <c r="AE147" s="50">
        <v>6649216</v>
      </c>
      <c r="AF147" s="50">
        <v>6649216</v>
      </c>
      <c r="AG147" s="65" t="s">
        <v>244</v>
      </c>
      <c r="AH147" s="65" t="s">
        <v>245</v>
      </c>
      <c r="AI147" s="66" t="s">
        <v>246</v>
      </c>
      <c r="AJ147" s="67" t="s">
        <v>247</v>
      </c>
      <c r="AK147" s="68" t="s">
        <v>372</v>
      </c>
      <c r="AL147" s="69" t="s">
        <v>248</v>
      </c>
      <c r="AM147" s="70" t="s">
        <v>249</v>
      </c>
      <c r="AN147" s="65" t="s">
        <v>244</v>
      </c>
      <c r="AO147" s="65" t="s">
        <v>244</v>
      </c>
      <c r="AP147" s="71" t="s">
        <v>250</v>
      </c>
      <c r="AQ147" s="72" t="s">
        <v>251</v>
      </c>
      <c r="AR147" s="72" t="s">
        <v>252</v>
      </c>
      <c r="AS147" s="72" t="s">
        <v>250</v>
      </c>
      <c r="AT147" s="72"/>
      <c r="AU147" s="72"/>
    </row>
    <row r="148" spans="1:47" ht="33.75" x14ac:dyDescent="0.2">
      <c r="A148" s="216">
        <v>298</v>
      </c>
      <c r="B148" s="33" t="s">
        <v>90</v>
      </c>
      <c r="C148" s="33" t="s">
        <v>78</v>
      </c>
      <c r="D148" s="33" t="s">
        <v>375</v>
      </c>
      <c r="E148" s="33"/>
      <c r="F148" s="45" t="s">
        <v>374</v>
      </c>
      <c r="G148" s="45" t="s">
        <v>69</v>
      </c>
      <c r="H148" s="45" t="s">
        <v>28</v>
      </c>
      <c r="I148" s="75">
        <v>2326560</v>
      </c>
      <c r="J148" s="195">
        <v>4</v>
      </c>
      <c r="K148" s="94">
        <v>9306240</v>
      </c>
      <c r="L148" s="59">
        <v>45136</v>
      </c>
      <c r="M148" s="58">
        <v>45260</v>
      </c>
      <c r="N148" s="80">
        <v>9306240</v>
      </c>
      <c r="O148" s="86"/>
      <c r="P148" s="86"/>
      <c r="Q148" s="78">
        <v>0</v>
      </c>
      <c r="R148" s="93">
        <v>9306240</v>
      </c>
      <c r="S148" s="87" t="s">
        <v>243</v>
      </c>
      <c r="T148" s="82" t="s">
        <v>373</v>
      </c>
      <c r="U148" s="88" t="s">
        <v>361</v>
      </c>
      <c r="V148" s="83" t="s">
        <v>244</v>
      </c>
      <c r="W148" s="84" t="str">
        <f t="shared" si="3"/>
        <v>CLE-298</v>
      </c>
      <c r="X148" s="87">
        <v>80111600</v>
      </c>
      <c r="Y148" s="34" t="s">
        <v>574</v>
      </c>
      <c r="Z148" s="61" t="s">
        <v>393</v>
      </c>
      <c r="AA148" s="61" t="s">
        <v>393</v>
      </c>
      <c r="AB148" s="62">
        <v>4</v>
      </c>
      <c r="AC148" s="63" t="s">
        <v>241</v>
      </c>
      <c r="AD148" s="64" t="s">
        <v>242</v>
      </c>
      <c r="AE148" s="50">
        <v>9306240</v>
      </c>
      <c r="AF148" s="50">
        <v>9306240</v>
      </c>
      <c r="AG148" s="65" t="s">
        <v>244</v>
      </c>
      <c r="AH148" s="65" t="s">
        <v>245</v>
      </c>
      <c r="AI148" s="66" t="s">
        <v>246</v>
      </c>
      <c r="AJ148" s="67" t="s">
        <v>247</v>
      </c>
      <c r="AK148" s="68" t="s">
        <v>372</v>
      </c>
      <c r="AL148" s="69" t="s">
        <v>248</v>
      </c>
      <c r="AM148" s="70" t="s">
        <v>249</v>
      </c>
      <c r="AN148" s="65" t="s">
        <v>244</v>
      </c>
      <c r="AO148" s="65" t="s">
        <v>244</v>
      </c>
      <c r="AP148" s="71" t="s">
        <v>250</v>
      </c>
      <c r="AQ148" s="72" t="s">
        <v>251</v>
      </c>
      <c r="AR148" s="72" t="s">
        <v>252</v>
      </c>
      <c r="AS148" s="72" t="s">
        <v>250</v>
      </c>
      <c r="AT148" s="72"/>
      <c r="AU148" s="72"/>
    </row>
    <row r="149" spans="1:47" ht="33.75" x14ac:dyDescent="0.2">
      <c r="A149" s="216">
        <v>299</v>
      </c>
      <c r="B149" s="33" t="s">
        <v>90</v>
      </c>
      <c r="C149" s="33" t="s">
        <v>78</v>
      </c>
      <c r="D149" s="33" t="s">
        <v>375</v>
      </c>
      <c r="E149" s="33"/>
      <c r="F149" s="45" t="s">
        <v>374</v>
      </c>
      <c r="G149" s="45" t="s">
        <v>67</v>
      </c>
      <c r="H149" s="45" t="s">
        <v>28</v>
      </c>
      <c r="I149" s="75">
        <v>2040038</v>
      </c>
      <c r="J149" s="195">
        <v>4</v>
      </c>
      <c r="K149" s="94">
        <v>8160152</v>
      </c>
      <c r="L149" s="59">
        <v>45136</v>
      </c>
      <c r="M149" s="58">
        <v>45260</v>
      </c>
      <c r="N149" s="80">
        <v>8160152</v>
      </c>
      <c r="O149" s="86"/>
      <c r="P149" s="86"/>
      <c r="Q149" s="78">
        <v>0</v>
      </c>
      <c r="R149" s="93">
        <v>8160152</v>
      </c>
      <c r="S149" s="87" t="s">
        <v>243</v>
      </c>
      <c r="T149" s="82" t="s">
        <v>373</v>
      </c>
      <c r="U149" s="88" t="s">
        <v>361</v>
      </c>
      <c r="V149" s="83" t="s">
        <v>244</v>
      </c>
      <c r="W149" s="84" t="str">
        <f t="shared" si="3"/>
        <v>CLE-299</v>
      </c>
      <c r="X149" s="87">
        <v>80111600</v>
      </c>
      <c r="Y149" s="34" t="s">
        <v>574</v>
      </c>
      <c r="Z149" s="61" t="s">
        <v>393</v>
      </c>
      <c r="AA149" s="61" t="s">
        <v>393</v>
      </c>
      <c r="AB149" s="62">
        <v>4</v>
      </c>
      <c r="AC149" s="63" t="s">
        <v>241</v>
      </c>
      <c r="AD149" s="64" t="s">
        <v>242</v>
      </c>
      <c r="AE149" s="50">
        <v>8160152</v>
      </c>
      <c r="AF149" s="50">
        <v>8160152</v>
      </c>
      <c r="AG149" s="65" t="s">
        <v>244</v>
      </c>
      <c r="AH149" s="65" t="s">
        <v>245</v>
      </c>
      <c r="AI149" s="66" t="s">
        <v>246</v>
      </c>
      <c r="AJ149" s="67" t="s">
        <v>247</v>
      </c>
      <c r="AK149" s="68" t="s">
        <v>372</v>
      </c>
      <c r="AL149" s="69" t="s">
        <v>248</v>
      </c>
      <c r="AM149" s="70" t="s">
        <v>249</v>
      </c>
      <c r="AN149" s="65" t="s">
        <v>244</v>
      </c>
      <c r="AO149" s="65" t="s">
        <v>244</v>
      </c>
      <c r="AP149" s="71" t="s">
        <v>250</v>
      </c>
      <c r="AQ149" s="72" t="s">
        <v>251</v>
      </c>
      <c r="AR149" s="72" t="s">
        <v>252</v>
      </c>
      <c r="AS149" s="72" t="s">
        <v>250</v>
      </c>
      <c r="AT149" s="72"/>
      <c r="AU149" s="72"/>
    </row>
    <row r="150" spans="1:47" ht="33.75" x14ac:dyDescent="0.2">
      <c r="A150" s="216">
        <v>300</v>
      </c>
      <c r="B150" s="33" t="s">
        <v>90</v>
      </c>
      <c r="C150" s="33" t="s">
        <v>78</v>
      </c>
      <c r="D150" s="33" t="s">
        <v>375</v>
      </c>
      <c r="E150" s="33"/>
      <c r="F150" s="45" t="s">
        <v>374</v>
      </c>
      <c r="G150" s="45" t="s">
        <v>69</v>
      </c>
      <c r="H150" s="45" t="s">
        <v>28</v>
      </c>
      <c r="I150" s="75">
        <v>0</v>
      </c>
      <c r="J150" s="195">
        <v>4</v>
      </c>
      <c r="K150" s="94">
        <v>9330066</v>
      </c>
      <c r="L150" s="59">
        <v>45136</v>
      </c>
      <c r="M150" s="58">
        <v>45260</v>
      </c>
      <c r="N150" s="80">
        <v>9330066</v>
      </c>
      <c r="O150" s="86"/>
      <c r="P150" s="86"/>
      <c r="Q150" s="78">
        <v>0</v>
      </c>
      <c r="R150" s="93">
        <v>9330066</v>
      </c>
      <c r="S150" s="87" t="s">
        <v>243</v>
      </c>
      <c r="T150" s="82" t="s">
        <v>373</v>
      </c>
      <c r="U150" s="88" t="s">
        <v>361</v>
      </c>
      <c r="V150" s="83" t="s">
        <v>244</v>
      </c>
      <c r="W150" s="84" t="str">
        <f t="shared" si="3"/>
        <v>CLE-300</v>
      </c>
      <c r="X150" s="87">
        <v>80111600</v>
      </c>
      <c r="Y150" s="34" t="s">
        <v>574</v>
      </c>
      <c r="Z150" s="61" t="s">
        <v>393</v>
      </c>
      <c r="AA150" s="61" t="s">
        <v>393</v>
      </c>
      <c r="AB150" s="62">
        <v>4</v>
      </c>
      <c r="AC150" s="63" t="s">
        <v>241</v>
      </c>
      <c r="AD150" s="64" t="s">
        <v>242</v>
      </c>
      <c r="AE150" s="50">
        <v>9330066</v>
      </c>
      <c r="AF150" s="50">
        <v>9330066</v>
      </c>
      <c r="AG150" s="65" t="s">
        <v>244</v>
      </c>
      <c r="AH150" s="65" t="s">
        <v>245</v>
      </c>
      <c r="AI150" s="66" t="s">
        <v>246</v>
      </c>
      <c r="AJ150" s="67" t="s">
        <v>247</v>
      </c>
      <c r="AK150" s="68" t="s">
        <v>372</v>
      </c>
      <c r="AL150" s="69" t="s">
        <v>248</v>
      </c>
      <c r="AM150" s="70" t="s">
        <v>249</v>
      </c>
      <c r="AN150" s="65" t="s">
        <v>244</v>
      </c>
      <c r="AO150" s="65" t="s">
        <v>244</v>
      </c>
      <c r="AP150" s="71" t="s">
        <v>250</v>
      </c>
      <c r="AQ150" s="72" t="s">
        <v>251</v>
      </c>
      <c r="AR150" s="72" t="s">
        <v>252</v>
      </c>
      <c r="AS150" s="72" t="s">
        <v>250</v>
      </c>
      <c r="AT150" s="72"/>
      <c r="AU150" s="72"/>
    </row>
    <row r="151" spans="1:47" ht="33.75" x14ac:dyDescent="0.2">
      <c r="A151" s="216">
        <v>301</v>
      </c>
      <c r="B151" s="33" t="s">
        <v>90</v>
      </c>
      <c r="C151" s="33" t="s">
        <v>78</v>
      </c>
      <c r="D151" s="33" t="s">
        <v>375</v>
      </c>
      <c r="E151" s="33"/>
      <c r="F151" s="45" t="s">
        <v>374</v>
      </c>
      <c r="G151" s="45" t="s">
        <v>69</v>
      </c>
      <c r="H151" s="45" t="s">
        <v>28</v>
      </c>
      <c r="I151" s="75">
        <v>0</v>
      </c>
      <c r="J151" s="195">
        <v>4</v>
      </c>
      <c r="K151" s="94">
        <v>12159942</v>
      </c>
      <c r="L151" s="59">
        <v>45136</v>
      </c>
      <c r="M151" s="58">
        <v>45260</v>
      </c>
      <c r="N151" s="80">
        <v>12159942</v>
      </c>
      <c r="O151" s="86"/>
      <c r="P151" s="86"/>
      <c r="Q151" s="78">
        <v>0</v>
      </c>
      <c r="R151" s="93">
        <v>12159942</v>
      </c>
      <c r="S151" s="87" t="s">
        <v>243</v>
      </c>
      <c r="T151" s="82" t="s">
        <v>373</v>
      </c>
      <c r="U151" s="88" t="s">
        <v>361</v>
      </c>
      <c r="V151" s="83" t="s">
        <v>244</v>
      </c>
      <c r="W151" s="84" t="str">
        <f t="shared" si="3"/>
        <v>CLE-301</v>
      </c>
      <c r="X151" s="87">
        <v>80111600</v>
      </c>
      <c r="Y151" s="34" t="s">
        <v>574</v>
      </c>
      <c r="Z151" s="61" t="s">
        <v>393</v>
      </c>
      <c r="AA151" s="61" t="s">
        <v>393</v>
      </c>
      <c r="AB151" s="62">
        <v>4</v>
      </c>
      <c r="AC151" s="63" t="s">
        <v>241</v>
      </c>
      <c r="AD151" s="64" t="s">
        <v>242</v>
      </c>
      <c r="AE151" s="50">
        <v>12159942</v>
      </c>
      <c r="AF151" s="50">
        <v>12159942</v>
      </c>
      <c r="AG151" s="65" t="s">
        <v>244</v>
      </c>
      <c r="AH151" s="65" t="s">
        <v>245</v>
      </c>
      <c r="AI151" s="66" t="s">
        <v>246</v>
      </c>
      <c r="AJ151" s="67" t="s">
        <v>247</v>
      </c>
      <c r="AK151" s="68" t="s">
        <v>372</v>
      </c>
      <c r="AL151" s="69" t="s">
        <v>248</v>
      </c>
      <c r="AM151" s="70" t="s">
        <v>249</v>
      </c>
      <c r="AN151" s="65" t="s">
        <v>244</v>
      </c>
      <c r="AO151" s="65" t="s">
        <v>244</v>
      </c>
      <c r="AP151" s="71" t="s">
        <v>250</v>
      </c>
      <c r="AQ151" s="72" t="s">
        <v>251</v>
      </c>
      <c r="AR151" s="72" t="s">
        <v>252</v>
      </c>
      <c r="AS151" s="72" t="s">
        <v>250</v>
      </c>
      <c r="AT151" s="72"/>
      <c r="AU151" s="72"/>
    </row>
    <row r="152" spans="1:47" ht="33.75" x14ac:dyDescent="0.2">
      <c r="A152" s="216">
        <v>302</v>
      </c>
      <c r="B152" s="33" t="s">
        <v>90</v>
      </c>
      <c r="C152" s="33" t="s">
        <v>78</v>
      </c>
      <c r="D152" s="33" t="s">
        <v>375</v>
      </c>
      <c r="E152" s="33"/>
      <c r="F152" s="45" t="s">
        <v>374</v>
      </c>
      <c r="G152" s="45" t="s">
        <v>69</v>
      </c>
      <c r="H152" s="45" t="s">
        <v>28</v>
      </c>
      <c r="I152" s="75">
        <v>3002729</v>
      </c>
      <c r="J152" s="195">
        <v>4</v>
      </c>
      <c r="K152" s="94">
        <v>12010916</v>
      </c>
      <c r="L152" s="59">
        <v>45136</v>
      </c>
      <c r="M152" s="58">
        <v>45260</v>
      </c>
      <c r="N152" s="80">
        <v>12010916</v>
      </c>
      <c r="O152" s="86"/>
      <c r="P152" s="86"/>
      <c r="Q152" s="78">
        <v>0</v>
      </c>
      <c r="R152" s="93">
        <v>12010916</v>
      </c>
      <c r="S152" s="87" t="s">
        <v>243</v>
      </c>
      <c r="T152" s="82" t="s">
        <v>373</v>
      </c>
      <c r="U152" s="88" t="s">
        <v>361</v>
      </c>
      <c r="V152" s="83" t="s">
        <v>244</v>
      </c>
      <c r="W152" s="84" t="str">
        <f t="shared" si="3"/>
        <v>CLE-302</v>
      </c>
      <c r="X152" s="87">
        <v>80111600</v>
      </c>
      <c r="Y152" s="34" t="s">
        <v>574</v>
      </c>
      <c r="Z152" s="61" t="s">
        <v>393</v>
      </c>
      <c r="AA152" s="61" t="s">
        <v>393</v>
      </c>
      <c r="AB152" s="62">
        <v>4</v>
      </c>
      <c r="AC152" s="63" t="s">
        <v>241</v>
      </c>
      <c r="AD152" s="64" t="s">
        <v>242</v>
      </c>
      <c r="AE152" s="50">
        <v>12010916</v>
      </c>
      <c r="AF152" s="50">
        <v>12010916</v>
      </c>
      <c r="AG152" s="65" t="s">
        <v>244</v>
      </c>
      <c r="AH152" s="65" t="s">
        <v>245</v>
      </c>
      <c r="AI152" s="66" t="s">
        <v>246</v>
      </c>
      <c r="AJ152" s="67" t="s">
        <v>247</v>
      </c>
      <c r="AK152" s="68" t="s">
        <v>372</v>
      </c>
      <c r="AL152" s="69" t="s">
        <v>248</v>
      </c>
      <c r="AM152" s="70" t="s">
        <v>249</v>
      </c>
      <c r="AN152" s="65" t="s">
        <v>244</v>
      </c>
      <c r="AO152" s="65" t="s">
        <v>244</v>
      </c>
      <c r="AP152" s="71" t="s">
        <v>250</v>
      </c>
      <c r="AQ152" s="72" t="s">
        <v>251</v>
      </c>
      <c r="AR152" s="72" t="s">
        <v>252</v>
      </c>
      <c r="AS152" s="72" t="s">
        <v>250</v>
      </c>
      <c r="AT152" s="72"/>
      <c r="AU152" s="72"/>
    </row>
    <row r="153" spans="1:47" ht="33.75" x14ac:dyDescent="0.2">
      <c r="A153" s="216">
        <v>303</v>
      </c>
      <c r="B153" s="33" t="s">
        <v>90</v>
      </c>
      <c r="C153" s="33" t="s">
        <v>78</v>
      </c>
      <c r="D153" s="33" t="s">
        <v>375</v>
      </c>
      <c r="E153" s="33"/>
      <c r="F153" s="45" t="s">
        <v>374</v>
      </c>
      <c r="G153" s="45" t="s">
        <v>67</v>
      </c>
      <c r="H153" s="45" t="s">
        <v>28</v>
      </c>
      <c r="I153" s="75">
        <v>0</v>
      </c>
      <c r="J153" s="195">
        <v>4</v>
      </c>
      <c r="K153" s="94">
        <v>19282488</v>
      </c>
      <c r="L153" s="59">
        <v>45136</v>
      </c>
      <c r="M153" s="58">
        <v>45260</v>
      </c>
      <c r="N153" s="80">
        <v>19282488</v>
      </c>
      <c r="O153" s="86"/>
      <c r="P153" s="86"/>
      <c r="Q153" s="78">
        <v>0</v>
      </c>
      <c r="R153" s="93">
        <v>19282488</v>
      </c>
      <c r="S153" s="87" t="s">
        <v>243</v>
      </c>
      <c r="T153" s="82" t="s">
        <v>373</v>
      </c>
      <c r="U153" s="88" t="s">
        <v>361</v>
      </c>
      <c r="V153" s="83" t="s">
        <v>244</v>
      </c>
      <c r="W153" s="84" t="str">
        <f t="shared" si="3"/>
        <v>CLE-303</v>
      </c>
      <c r="X153" s="87">
        <v>80111600</v>
      </c>
      <c r="Y153" s="34" t="s">
        <v>574</v>
      </c>
      <c r="Z153" s="61" t="s">
        <v>393</v>
      </c>
      <c r="AA153" s="61" t="s">
        <v>393</v>
      </c>
      <c r="AB153" s="62">
        <v>4</v>
      </c>
      <c r="AC153" s="63" t="s">
        <v>241</v>
      </c>
      <c r="AD153" s="64" t="s">
        <v>242</v>
      </c>
      <c r="AE153" s="50">
        <v>19282488</v>
      </c>
      <c r="AF153" s="50">
        <v>19282488</v>
      </c>
      <c r="AG153" s="65" t="s">
        <v>244</v>
      </c>
      <c r="AH153" s="65" t="s">
        <v>245</v>
      </c>
      <c r="AI153" s="66" t="s">
        <v>246</v>
      </c>
      <c r="AJ153" s="67" t="s">
        <v>247</v>
      </c>
      <c r="AK153" s="68" t="s">
        <v>372</v>
      </c>
      <c r="AL153" s="69" t="s">
        <v>248</v>
      </c>
      <c r="AM153" s="70" t="s">
        <v>249</v>
      </c>
      <c r="AN153" s="65" t="s">
        <v>244</v>
      </c>
      <c r="AO153" s="65" t="s">
        <v>244</v>
      </c>
      <c r="AP153" s="71" t="s">
        <v>250</v>
      </c>
      <c r="AQ153" s="72" t="s">
        <v>251</v>
      </c>
      <c r="AR153" s="72" t="s">
        <v>252</v>
      </c>
      <c r="AS153" s="72" t="s">
        <v>250</v>
      </c>
      <c r="AT153" s="72"/>
      <c r="AU153" s="72"/>
    </row>
    <row r="154" spans="1:47" ht="33.75" x14ac:dyDescent="0.2">
      <c r="A154" s="216">
        <v>304</v>
      </c>
      <c r="B154" s="33" t="s">
        <v>90</v>
      </c>
      <c r="C154" s="33" t="s">
        <v>78</v>
      </c>
      <c r="D154" s="33" t="s">
        <v>375</v>
      </c>
      <c r="E154" s="33"/>
      <c r="F154" s="45" t="s">
        <v>374</v>
      </c>
      <c r="G154" s="45" t="s">
        <v>67</v>
      </c>
      <c r="H154" s="45" t="s">
        <v>28</v>
      </c>
      <c r="I154" s="75">
        <v>0</v>
      </c>
      <c r="J154" s="195">
        <v>4</v>
      </c>
      <c r="K154" s="94">
        <v>15427566</v>
      </c>
      <c r="L154" s="59">
        <v>45136</v>
      </c>
      <c r="M154" s="58">
        <v>45260</v>
      </c>
      <c r="N154" s="80">
        <v>15427566</v>
      </c>
      <c r="O154" s="86"/>
      <c r="P154" s="86"/>
      <c r="Q154" s="78">
        <v>0</v>
      </c>
      <c r="R154" s="93">
        <v>15427566</v>
      </c>
      <c r="S154" s="87" t="s">
        <v>243</v>
      </c>
      <c r="T154" s="82" t="s">
        <v>373</v>
      </c>
      <c r="U154" s="88" t="s">
        <v>361</v>
      </c>
      <c r="V154" s="83" t="s">
        <v>244</v>
      </c>
      <c r="W154" s="84" t="str">
        <f t="shared" si="3"/>
        <v>CLE-304</v>
      </c>
      <c r="X154" s="87">
        <v>80111600</v>
      </c>
      <c r="Y154" s="34" t="s">
        <v>574</v>
      </c>
      <c r="Z154" s="61" t="s">
        <v>393</v>
      </c>
      <c r="AA154" s="61" t="s">
        <v>393</v>
      </c>
      <c r="AB154" s="62">
        <v>4</v>
      </c>
      <c r="AC154" s="63" t="s">
        <v>241</v>
      </c>
      <c r="AD154" s="64" t="s">
        <v>242</v>
      </c>
      <c r="AE154" s="50">
        <v>15427566</v>
      </c>
      <c r="AF154" s="50">
        <v>15427566</v>
      </c>
      <c r="AG154" s="65" t="s">
        <v>244</v>
      </c>
      <c r="AH154" s="65" t="s">
        <v>245</v>
      </c>
      <c r="AI154" s="66" t="s">
        <v>246</v>
      </c>
      <c r="AJ154" s="67" t="s">
        <v>247</v>
      </c>
      <c r="AK154" s="68" t="s">
        <v>372</v>
      </c>
      <c r="AL154" s="69" t="s">
        <v>248</v>
      </c>
      <c r="AM154" s="70" t="s">
        <v>249</v>
      </c>
      <c r="AN154" s="65" t="s">
        <v>244</v>
      </c>
      <c r="AO154" s="65" t="s">
        <v>244</v>
      </c>
      <c r="AP154" s="71" t="s">
        <v>250</v>
      </c>
      <c r="AQ154" s="72" t="s">
        <v>251</v>
      </c>
      <c r="AR154" s="72" t="s">
        <v>252</v>
      </c>
      <c r="AS154" s="72" t="s">
        <v>250</v>
      </c>
      <c r="AT154" s="72"/>
      <c r="AU154" s="72"/>
    </row>
    <row r="155" spans="1:47" ht="33.75" x14ac:dyDescent="0.2">
      <c r="A155" s="216">
        <v>305</v>
      </c>
      <c r="B155" s="33" t="s">
        <v>90</v>
      </c>
      <c r="C155" s="33" t="s">
        <v>78</v>
      </c>
      <c r="D155" s="33" t="s">
        <v>375</v>
      </c>
      <c r="E155" s="33"/>
      <c r="F155" s="45" t="s">
        <v>374</v>
      </c>
      <c r="G155" s="45" t="s">
        <v>67</v>
      </c>
      <c r="H155" s="45" t="s">
        <v>28</v>
      </c>
      <c r="I155" s="75">
        <v>0</v>
      </c>
      <c r="J155" s="195">
        <v>4</v>
      </c>
      <c r="K155" s="100">
        <v>10346874</v>
      </c>
      <c r="L155" s="59">
        <v>45136</v>
      </c>
      <c r="M155" s="58">
        <v>45260</v>
      </c>
      <c r="N155" s="80">
        <v>10346874</v>
      </c>
      <c r="O155" s="86"/>
      <c r="P155" s="86"/>
      <c r="Q155" s="78">
        <v>0</v>
      </c>
      <c r="R155" s="93">
        <v>10346874</v>
      </c>
      <c r="S155" s="87" t="s">
        <v>243</v>
      </c>
      <c r="T155" s="82" t="s">
        <v>373</v>
      </c>
      <c r="U155" s="88" t="s">
        <v>361</v>
      </c>
      <c r="V155" s="83" t="s">
        <v>244</v>
      </c>
      <c r="W155" s="84" t="str">
        <f t="shared" si="3"/>
        <v>CLE-305</v>
      </c>
      <c r="X155" s="87">
        <v>80111600</v>
      </c>
      <c r="Y155" s="34" t="s">
        <v>574</v>
      </c>
      <c r="Z155" s="61" t="s">
        <v>393</v>
      </c>
      <c r="AA155" s="61" t="s">
        <v>393</v>
      </c>
      <c r="AB155" s="62">
        <v>4</v>
      </c>
      <c r="AC155" s="63" t="s">
        <v>241</v>
      </c>
      <c r="AD155" s="64" t="s">
        <v>242</v>
      </c>
      <c r="AE155" s="50">
        <v>10346874</v>
      </c>
      <c r="AF155" s="50">
        <v>10346874</v>
      </c>
      <c r="AG155" s="65" t="s">
        <v>244</v>
      </c>
      <c r="AH155" s="65" t="s">
        <v>245</v>
      </c>
      <c r="AI155" s="66" t="s">
        <v>246</v>
      </c>
      <c r="AJ155" s="67" t="s">
        <v>247</v>
      </c>
      <c r="AK155" s="68" t="s">
        <v>372</v>
      </c>
      <c r="AL155" s="69" t="s">
        <v>248</v>
      </c>
      <c r="AM155" s="70" t="s">
        <v>249</v>
      </c>
      <c r="AN155" s="65" t="s">
        <v>244</v>
      </c>
      <c r="AO155" s="65" t="s">
        <v>244</v>
      </c>
      <c r="AP155" s="71" t="s">
        <v>250</v>
      </c>
      <c r="AQ155" s="72" t="s">
        <v>251</v>
      </c>
      <c r="AR155" s="72" t="s">
        <v>252</v>
      </c>
      <c r="AS155" s="72" t="s">
        <v>250</v>
      </c>
      <c r="AT155" s="72"/>
      <c r="AU155" s="72"/>
    </row>
    <row r="156" spans="1:47" ht="33.75" x14ac:dyDescent="0.2">
      <c r="A156" s="216">
        <v>306</v>
      </c>
      <c r="B156" s="33" t="s">
        <v>90</v>
      </c>
      <c r="C156" s="33" t="s">
        <v>78</v>
      </c>
      <c r="D156" s="33" t="s">
        <v>375</v>
      </c>
      <c r="E156" s="33"/>
      <c r="F156" s="45" t="s">
        <v>374</v>
      </c>
      <c r="G156" s="45" t="s">
        <v>69</v>
      </c>
      <c r="H156" s="45" t="s">
        <v>28</v>
      </c>
      <c r="I156" s="75">
        <v>0</v>
      </c>
      <c r="J156" s="195">
        <v>4</v>
      </c>
      <c r="K156" s="100">
        <v>9330066</v>
      </c>
      <c r="L156" s="59">
        <v>45136</v>
      </c>
      <c r="M156" s="58">
        <v>45260</v>
      </c>
      <c r="N156" s="80">
        <v>9330066</v>
      </c>
      <c r="O156" s="86"/>
      <c r="P156" s="86"/>
      <c r="Q156" s="78">
        <v>0</v>
      </c>
      <c r="R156" s="93">
        <v>9330066</v>
      </c>
      <c r="S156" s="87" t="s">
        <v>243</v>
      </c>
      <c r="T156" s="82" t="s">
        <v>373</v>
      </c>
      <c r="U156" s="88" t="s">
        <v>361</v>
      </c>
      <c r="V156" s="83" t="s">
        <v>244</v>
      </c>
      <c r="W156" s="84" t="str">
        <f t="shared" si="3"/>
        <v>CLE-306</v>
      </c>
      <c r="X156" s="87">
        <v>80111600</v>
      </c>
      <c r="Y156" s="34" t="s">
        <v>574</v>
      </c>
      <c r="Z156" s="61" t="s">
        <v>393</v>
      </c>
      <c r="AA156" s="61" t="s">
        <v>393</v>
      </c>
      <c r="AB156" s="62">
        <v>4</v>
      </c>
      <c r="AC156" s="63" t="s">
        <v>241</v>
      </c>
      <c r="AD156" s="64" t="s">
        <v>242</v>
      </c>
      <c r="AE156" s="50">
        <v>9330066</v>
      </c>
      <c r="AF156" s="50">
        <v>9330066</v>
      </c>
      <c r="AG156" s="65" t="s">
        <v>244</v>
      </c>
      <c r="AH156" s="65" t="s">
        <v>245</v>
      </c>
      <c r="AI156" s="66" t="s">
        <v>246</v>
      </c>
      <c r="AJ156" s="67" t="s">
        <v>247</v>
      </c>
      <c r="AK156" s="68" t="s">
        <v>372</v>
      </c>
      <c r="AL156" s="69" t="s">
        <v>248</v>
      </c>
      <c r="AM156" s="70" t="s">
        <v>249</v>
      </c>
      <c r="AN156" s="65" t="s">
        <v>244</v>
      </c>
      <c r="AO156" s="65" t="s">
        <v>244</v>
      </c>
      <c r="AP156" s="71" t="s">
        <v>250</v>
      </c>
      <c r="AQ156" s="72" t="s">
        <v>251</v>
      </c>
      <c r="AR156" s="72" t="s">
        <v>252</v>
      </c>
      <c r="AS156" s="72" t="s">
        <v>250</v>
      </c>
      <c r="AT156" s="72"/>
      <c r="AU156" s="72"/>
    </row>
    <row r="157" spans="1:47" ht="33.75" x14ac:dyDescent="0.2">
      <c r="A157" s="216">
        <v>307</v>
      </c>
      <c r="B157" s="33" t="s">
        <v>90</v>
      </c>
      <c r="C157" s="33" t="s">
        <v>78</v>
      </c>
      <c r="D157" s="33" t="s">
        <v>375</v>
      </c>
      <c r="E157" s="33"/>
      <c r="F157" s="33" t="s">
        <v>374</v>
      </c>
      <c r="G157" s="45" t="s">
        <v>69</v>
      </c>
      <c r="H157" s="45" t="s">
        <v>28</v>
      </c>
      <c r="I157" s="75">
        <v>1662304</v>
      </c>
      <c r="J157" s="195">
        <v>4</v>
      </c>
      <c r="K157" s="93">
        <v>6649216</v>
      </c>
      <c r="L157" s="59">
        <v>45136</v>
      </c>
      <c r="M157" s="58">
        <v>45260</v>
      </c>
      <c r="N157" s="78">
        <v>6649216</v>
      </c>
      <c r="O157" s="99"/>
      <c r="P157" s="99"/>
      <c r="Q157" s="201">
        <v>0</v>
      </c>
      <c r="R157" s="93">
        <v>6649216</v>
      </c>
      <c r="S157" s="202" t="s">
        <v>243</v>
      </c>
      <c r="T157" s="203" t="s">
        <v>373</v>
      </c>
      <c r="U157" s="204" t="s">
        <v>361</v>
      </c>
      <c r="V157" s="83" t="s">
        <v>244</v>
      </c>
      <c r="W157" s="84" t="str">
        <f t="shared" si="3"/>
        <v>CLE-307</v>
      </c>
      <c r="X157" s="202">
        <v>80111600</v>
      </c>
      <c r="Y157" s="34" t="s">
        <v>574</v>
      </c>
      <c r="Z157" s="61" t="s">
        <v>393</v>
      </c>
      <c r="AA157" s="61" t="s">
        <v>393</v>
      </c>
      <c r="AB157" s="62">
        <v>4</v>
      </c>
      <c r="AC157" s="63" t="s">
        <v>241</v>
      </c>
      <c r="AD157" s="64" t="s">
        <v>242</v>
      </c>
      <c r="AE157" s="205">
        <v>6649216</v>
      </c>
      <c r="AF157" s="205">
        <v>6649216</v>
      </c>
      <c r="AG157" s="63" t="s">
        <v>244</v>
      </c>
      <c r="AH157" s="64" t="s">
        <v>245</v>
      </c>
      <c r="AI157" s="66" t="s">
        <v>246</v>
      </c>
      <c r="AJ157" s="67" t="s">
        <v>247</v>
      </c>
      <c r="AK157" s="68" t="s">
        <v>372</v>
      </c>
      <c r="AL157" s="69" t="s">
        <v>248</v>
      </c>
      <c r="AM157" s="70" t="s">
        <v>249</v>
      </c>
      <c r="AN157" s="65" t="s">
        <v>244</v>
      </c>
      <c r="AO157" s="65" t="s">
        <v>244</v>
      </c>
      <c r="AP157" s="71" t="s">
        <v>250</v>
      </c>
      <c r="AQ157" s="72" t="s">
        <v>251</v>
      </c>
      <c r="AR157" s="72" t="s">
        <v>252</v>
      </c>
      <c r="AS157" s="72" t="s">
        <v>250</v>
      </c>
      <c r="AT157" s="71"/>
      <c r="AU157" s="72"/>
    </row>
    <row r="158" spans="1:47" ht="33.75" x14ac:dyDescent="0.2">
      <c r="A158" s="216">
        <v>308</v>
      </c>
      <c r="B158" s="33" t="s">
        <v>90</v>
      </c>
      <c r="C158" s="33" t="s">
        <v>78</v>
      </c>
      <c r="D158" s="33" t="s">
        <v>375</v>
      </c>
      <c r="E158" s="33"/>
      <c r="F158" s="45" t="s">
        <v>374</v>
      </c>
      <c r="G158" s="45" t="s">
        <v>67</v>
      </c>
      <c r="H158" s="45" t="s">
        <v>28</v>
      </c>
      <c r="I158" s="95">
        <v>2040038</v>
      </c>
      <c r="J158" s="195">
        <v>4</v>
      </c>
      <c r="K158" s="100">
        <v>8160152</v>
      </c>
      <c r="L158" s="59">
        <v>45136</v>
      </c>
      <c r="M158" s="58">
        <v>45260</v>
      </c>
      <c r="N158" s="80">
        <v>8160152</v>
      </c>
      <c r="O158" s="86"/>
      <c r="P158" s="86"/>
      <c r="Q158" s="78">
        <v>0</v>
      </c>
      <c r="R158" s="93">
        <v>8160152</v>
      </c>
      <c r="S158" s="87" t="s">
        <v>243</v>
      </c>
      <c r="T158" s="82" t="s">
        <v>373</v>
      </c>
      <c r="U158" s="88" t="s">
        <v>361</v>
      </c>
      <c r="V158" s="83" t="s">
        <v>244</v>
      </c>
      <c r="W158" s="84" t="str">
        <f t="shared" si="3"/>
        <v>CLE-308</v>
      </c>
      <c r="X158" s="87">
        <v>80111600</v>
      </c>
      <c r="Y158" s="34" t="s">
        <v>574</v>
      </c>
      <c r="Z158" s="61" t="s">
        <v>393</v>
      </c>
      <c r="AA158" s="61" t="s">
        <v>393</v>
      </c>
      <c r="AB158" s="62">
        <v>4</v>
      </c>
      <c r="AC158" s="63" t="s">
        <v>241</v>
      </c>
      <c r="AD158" s="64" t="s">
        <v>242</v>
      </c>
      <c r="AE158" s="50">
        <v>8160152</v>
      </c>
      <c r="AF158" s="50">
        <v>8160152</v>
      </c>
      <c r="AG158" s="65" t="s">
        <v>244</v>
      </c>
      <c r="AH158" s="65" t="s">
        <v>245</v>
      </c>
      <c r="AI158" s="66" t="s">
        <v>246</v>
      </c>
      <c r="AJ158" s="67" t="s">
        <v>247</v>
      </c>
      <c r="AK158" s="68" t="s">
        <v>372</v>
      </c>
      <c r="AL158" s="69" t="s">
        <v>248</v>
      </c>
      <c r="AM158" s="70" t="s">
        <v>249</v>
      </c>
      <c r="AN158" s="65" t="s">
        <v>244</v>
      </c>
      <c r="AO158" s="65" t="s">
        <v>244</v>
      </c>
      <c r="AP158" s="71" t="s">
        <v>250</v>
      </c>
      <c r="AQ158" s="72" t="s">
        <v>251</v>
      </c>
      <c r="AR158" s="72" t="s">
        <v>252</v>
      </c>
      <c r="AS158" s="72" t="s">
        <v>250</v>
      </c>
      <c r="AT158" s="72"/>
      <c r="AU158" s="72"/>
    </row>
    <row r="159" spans="1:47" ht="33.75" x14ac:dyDescent="0.2">
      <c r="A159" s="216">
        <v>309</v>
      </c>
      <c r="B159" s="33" t="s">
        <v>90</v>
      </c>
      <c r="C159" s="33" t="s">
        <v>78</v>
      </c>
      <c r="D159" s="33" t="s">
        <v>375</v>
      </c>
      <c r="E159" s="33"/>
      <c r="F159" s="45" t="s">
        <v>374</v>
      </c>
      <c r="G159" s="45" t="s">
        <v>67</v>
      </c>
      <c r="H159" s="45" t="s">
        <v>28</v>
      </c>
      <c r="I159" s="95">
        <v>3253872</v>
      </c>
      <c r="J159" s="195">
        <v>4</v>
      </c>
      <c r="K159" s="100">
        <v>13015488</v>
      </c>
      <c r="L159" s="59">
        <v>45136</v>
      </c>
      <c r="M159" s="58">
        <v>45260</v>
      </c>
      <c r="N159" s="80">
        <v>13015488</v>
      </c>
      <c r="O159" s="86"/>
      <c r="P159" s="86"/>
      <c r="Q159" s="78">
        <v>0</v>
      </c>
      <c r="R159" s="93">
        <v>13015488</v>
      </c>
      <c r="S159" s="87" t="s">
        <v>243</v>
      </c>
      <c r="T159" s="82" t="s">
        <v>373</v>
      </c>
      <c r="U159" s="88" t="s">
        <v>361</v>
      </c>
      <c r="V159" s="83" t="s">
        <v>244</v>
      </c>
      <c r="W159" s="84" t="str">
        <f t="shared" si="3"/>
        <v>CLE-309</v>
      </c>
      <c r="X159" s="87">
        <v>80111600</v>
      </c>
      <c r="Y159" s="34" t="s">
        <v>574</v>
      </c>
      <c r="Z159" s="61" t="s">
        <v>393</v>
      </c>
      <c r="AA159" s="61" t="s">
        <v>393</v>
      </c>
      <c r="AB159" s="62">
        <v>4</v>
      </c>
      <c r="AC159" s="63" t="s">
        <v>241</v>
      </c>
      <c r="AD159" s="64" t="s">
        <v>242</v>
      </c>
      <c r="AE159" s="50">
        <v>13015488</v>
      </c>
      <c r="AF159" s="50">
        <v>13015488</v>
      </c>
      <c r="AG159" s="65" t="s">
        <v>244</v>
      </c>
      <c r="AH159" s="65" t="s">
        <v>245</v>
      </c>
      <c r="AI159" s="66" t="s">
        <v>246</v>
      </c>
      <c r="AJ159" s="67" t="s">
        <v>247</v>
      </c>
      <c r="AK159" s="68" t="s">
        <v>372</v>
      </c>
      <c r="AL159" s="69" t="s">
        <v>248</v>
      </c>
      <c r="AM159" s="70" t="s">
        <v>249</v>
      </c>
      <c r="AN159" s="65" t="s">
        <v>244</v>
      </c>
      <c r="AO159" s="65" t="s">
        <v>244</v>
      </c>
      <c r="AP159" s="71" t="s">
        <v>250</v>
      </c>
      <c r="AQ159" s="72" t="s">
        <v>251</v>
      </c>
      <c r="AR159" s="72" t="s">
        <v>252</v>
      </c>
      <c r="AS159" s="72" t="s">
        <v>250</v>
      </c>
      <c r="AT159" s="72"/>
      <c r="AU159" s="72"/>
    </row>
    <row r="160" spans="1:47" ht="33.75" x14ac:dyDescent="0.2">
      <c r="A160" s="216">
        <v>310</v>
      </c>
      <c r="B160" s="33" t="s">
        <v>90</v>
      </c>
      <c r="C160" s="33" t="s">
        <v>78</v>
      </c>
      <c r="D160" s="33" t="s">
        <v>375</v>
      </c>
      <c r="E160" s="33"/>
      <c r="F160" s="45" t="s">
        <v>374</v>
      </c>
      <c r="G160" s="45" t="s">
        <v>69</v>
      </c>
      <c r="H160" s="45" t="s">
        <v>28</v>
      </c>
      <c r="I160" s="95">
        <v>0</v>
      </c>
      <c r="J160" s="195">
        <v>4</v>
      </c>
      <c r="K160" s="100">
        <v>12159942</v>
      </c>
      <c r="L160" s="59">
        <v>45136</v>
      </c>
      <c r="M160" s="58">
        <v>45260</v>
      </c>
      <c r="N160" s="80">
        <v>12159942</v>
      </c>
      <c r="O160" s="86"/>
      <c r="P160" s="86"/>
      <c r="Q160" s="78">
        <v>0</v>
      </c>
      <c r="R160" s="93">
        <v>12159942</v>
      </c>
      <c r="S160" s="87" t="s">
        <v>243</v>
      </c>
      <c r="T160" s="82" t="s">
        <v>373</v>
      </c>
      <c r="U160" s="88" t="s">
        <v>361</v>
      </c>
      <c r="V160" s="83" t="s">
        <v>244</v>
      </c>
      <c r="W160" s="84" t="str">
        <f t="shared" si="3"/>
        <v>CLE-310</v>
      </c>
      <c r="X160" s="87">
        <v>80111600</v>
      </c>
      <c r="Y160" s="34" t="s">
        <v>574</v>
      </c>
      <c r="Z160" s="61" t="s">
        <v>393</v>
      </c>
      <c r="AA160" s="61" t="s">
        <v>393</v>
      </c>
      <c r="AB160" s="62">
        <v>4</v>
      </c>
      <c r="AC160" s="63" t="s">
        <v>241</v>
      </c>
      <c r="AD160" s="64" t="s">
        <v>242</v>
      </c>
      <c r="AE160" s="50">
        <v>12159942</v>
      </c>
      <c r="AF160" s="50">
        <v>12159942</v>
      </c>
      <c r="AG160" s="65" t="s">
        <v>244</v>
      </c>
      <c r="AH160" s="65" t="s">
        <v>245</v>
      </c>
      <c r="AI160" s="66" t="s">
        <v>246</v>
      </c>
      <c r="AJ160" s="67" t="s">
        <v>247</v>
      </c>
      <c r="AK160" s="68" t="s">
        <v>372</v>
      </c>
      <c r="AL160" s="69" t="s">
        <v>248</v>
      </c>
      <c r="AM160" s="70" t="s">
        <v>249</v>
      </c>
      <c r="AN160" s="65" t="s">
        <v>244</v>
      </c>
      <c r="AO160" s="65" t="s">
        <v>244</v>
      </c>
      <c r="AP160" s="71" t="s">
        <v>250</v>
      </c>
      <c r="AQ160" s="72" t="s">
        <v>251</v>
      </c>
      <c r="AR160" s="72" t="s">
        <v>252</v>
      </c>
      <c r="AS160" s="72" t="s">
        <v>250</v>
      </c>
      <c r="AT160" s="72"/>
      <c r="AU160" s="72"/>
    </row>
    <row r="161" spans="1:47" ht="33.75" x14ac:dyDescent="0.2">
      <c r="A161" s="216">
        <v>311</v>
      </c>
      <c r="B161" s="33" t="s">
        <v>90</v>
      </c>
      <c r="C161" s="33" t="s">
        <v>78</v>
      </c>
      <c r="D161" s="33" t="s">
        <v>375</v>
      </c>
      <c r="E161" s="33"/>
      <c r="F161" s="45" t="s">
        <v>374</v>
      </c>
      <c r="G161" s="45" t="s">
        <v>69</v>
      </c>
      <c r="H161" s="45" t="s">
        <v>28</v>
      </c>
      <c r="I161" s="95">
        <v>2326560</v>
      </c>
      <c r="J161" s="195">
        <v>4</v>
      </c>
      <c r="K161" s="100">
        <v>9306240</v>
      </c>
      <c r="L161" s="59">
        <v>45136</v>
      </c>
      <c r="M161" s="58">
        <v>45260</v>
      </c>
      <c r="N161" s="80">
        <v>9306240</v>
      </c>
      <c r="O161" s="86"/>
      <c r="P161" s="86"/>
      <c r="Q161" s="78">
        <v>0</v>
      </c>
      <c r="R161" s="93">
        <v>9306240</v>
      </c>
      <c r="S161" s="87" t="s">
        <v>243</v>
      </c>
      <c r="T161" s="82" t="s">
        <v>373</v>
      </c>
      <c r="U161" s="88" t="s">
        <v>361</v>
      </c>
      <c r="V161" s="83" t="s">
        <v>244</v>
      </c>
      <c r="W161" s="84" t="str">
        <f t="shared" si="3"/>
        <v>CLE-311</v>
      </c>
      <c r="X161" s="87">
        <v>80111600</v>
      </c>
      <c r="Y161" s="34" t="s">
        <v>574</v>
      </c>
      <c r="Z161" s="61" t="s">
        <v>393</v>
      </c>
      <c r="AA161" s="61" t="s">
        <v>393</v>
      </c>
      <c r="AB161" s="62">
        <v>4</v>
      </c>
      <c r="AC161" s="63" t="s">
        <v>241</v>
      </c>
      <c r="AD161" s="64" t="s">
        <v>242</v>
      </c>
      <c r="AE161" s="50">
        <v>9306240</v>
      </c>
      <c r="AF161" s="50">
        <v>9306240</v>
      </c>
      <c r="AG161" s="65" t="s">
        <v>244</v>
      </c>
      <c r="AH161" s="65" t="s">
        <v>245</v>
      </c>
      <c r="AI161" s="66" t="s">
        <v>246</v>
      </c>
      <c r="AJ161" s="67" t="s">
        <v>247</v>
      </c>
      <c r="AK161" s="68" t="s">
        <v>372</v>
      </c>
      <c r="AL161" s="69" t="s">
        <v>248</v>
      </c>
      <c r="AM161" s="70" t="s">
        <v>249</v>
      </c>
      <c r="AN161" s="65" t="s">
        <v>244</v>
      </c>
      <c r="AO161" s="65" t="s">
        <v>244</v>
      </c>
      <c r="AP161" s="71" t="s">
        <v>250</v>
      </c>
      <c r="AQ161" s="72" t="s">
        <v>251</v>
      </c>
      <c r="AR161" s="72" t="s">
        <v>252</v>
      </c>
      <c r="AS161" s="72" t="s">
        <v>250</v>
      </c>
      <c r="AT161" s="72"/>
      <c r="AU161" s="72"/>
    </row>
    <row r="162" spans="1:47" ht="33.75" x14ac:dyDescent="0.2">
      <c r="A162" s="216">
        <v>312</v>
      </c>
      <c r="B162" s="33" t="s">
        <v>90</v>
      </c>
      <c r="C162" s="33" t="s">
        <v>78</v>
      </c>
      <c r="D162" s="33" t="s">
        <v>375</v>
      </c>
      <c r="E162" s="33"/>
      <c r="F162" s="33" t="s">
        <v>374</v>
      </c>
      <c r="G162" s="45" t="s">
        <v>69</v>
      </c>
      <c r="H162" s="45" t="s">
        <v>28</v>
      </c>
      <c r="I162" s="75">
        <v>5630117</v>
      </c>
      <c r="J162" s="195">
        <v>4</v>
      </c>
      <c r="K162" s="93">
        <v>22520468</v>
      </c>
      <c r="L162" s="59">
        <v>45136</v>
      </c>
      <c r="M162" s="58">
        <v>45260</v>
      </c>
      <c r="N162" s="78">
        <v>22520468</v>
      </c>
      <c r="O162" s="99"/>
      <c r="P162" s="99"/>
      <c r="Q162" s="201">
        <v>0</v>
      </c>
      <c r="R162" s="93">
        <v>22520468</v>
      </c>
      <c r="S162" s="202" t="s">
        <v>243</v>
      </c>
      <c r="T162" s="203" t="s">
        <v>373</v>
      </c>
      <c r="U162" s="204" t="s">
        <v>361</v>
      </c>
      <c r="V162" s="83" t="s">
        <v>244</v>
      </c>
      <c r="W162" s="84" t="str">
        <f t="shared" si="3"/>
        <v>CLE-312</v>
      </c>
      <c r="X162" s="202">
        <v>80111600</v>
      </c>
      <c r="Y162" s="34" t="s">
        <v>574</v>
      </c>
      <c r="Z162" s="61" t="s">
        <v>393</v>
      </c>
      <c r="AA162" s="61" t="s">
        <v>393</v>
      </c>
      <c r="AB162" s="62">
        <v>4</v>
      </c>
      <c r="AC162" s="63" t="s">
        <v>241</v>
      </c>
      <c r="AD162" s="64" t="s">
        <v>242</v>
      </c>
      <c r="AE162" s="205">
        <v>22520468</v>
      </c>
      <c r="AF162" s="205">
        <v>22520468</v>
      </c>
      <c r="AG162" s="63" t="s">
        <v>244</v>
      </c>
      <c r="AH162" s="64" t="s">
        <v>245</v>
      </c>
      <c r="AI162" s="66" t="s">
        <v>246</v>
      </c>
      <c r="AJ162" s="67" t="s">
        <v>247</v>
      </c>
      <c r="AK162" s="68" t="s">
        <v>372</v>
      </c>
      <c r="AL162" s="69" t="s">
        <v>248</v>
      </c>
      <c r="AM162" s="70" t="s">
        <v>249</v>
      </c>
      <c r="AN162" s="65" t="s">
        <v>244</v>
      </c>
      <c r="AO162" s="65" t="s">
        <v>244</v>
      </c>
      <c r="AP162" s="71" t="s">
        <v>250</v>
      </c>
      <c r="AQ162" s="72" t="s">
        <v>251</v>
      </c>
      <c r="AR162" s="72" t="s">
        <v>252</v>
      </c>
      <c r="AS162" s="72" t="s">
        <v>250</v>
      </c>
      <c r="AT162" s="71"/>
      <c r="AU162" s="72"/>
    </row>
    <row r="163" spans="1:47" ht="33.75" x14ac:dyDescent="0.2">
      <c r="A163" s="216">
        <v>313</v>
      </c>
      <c r="B163" s="33" t="s">
        <v>90</v>
      </c>
      <c r="C163" s="33" t="s">
        <v>78</v>
      </c>
      <c r="D163" s="33" t="s">
        <v>375</v>
      </c>
      <c r="E163" s="33"/>
      <c r="F163" s="33" t="s">
        <v>374</v>
      </c>
      <c r="G163" s="45" t="s">
        <v>67</v>
      </c>
      <c r="H163" s="45" t="s">
        <v>28</v>
      </c>
      <c r="I163" s="75">
        <v>2040038</v>
      </c>
      <c r="J163" s="195">
        <v>4</v>
      </c>
      <c r="K163" s="93">
        <v>8160152</v>
      </c>
      <c r="L163" s="59">
        <v>45136</v>
      </c>
      <c r="M163" s="58">
        <v>45260</v>
      </c>
      <c r="N163" s="78">
        <v>8160152</v>
      </c>
      <c r="O163" s="99"/>
      <c r="P163" s="99"/>
      <c r="Q163" s="201">
        <v>0</v>
      </c>
      <c r="R163" s="93">
        <v>8160152</v>
      </c>
      <c r="S163" s="202" t="s">
        <v>243</v>
      </c>
      <c r="T163" s="203" t="s">
        <v>373</v>
      </c>
      <c r="U163" s="204" t="s">
        <v>361</v>
      </c>
      <c r="V163" s="83" t="s">
        <v>244</v>
      </c>
      <c r="W163" s="84" t="str">
        <f t="shared" si="3"/>
        <v>CLE-313</v>
      </c>
      <c r="X163" s="202">
        <v>80111600</v>
      </c>
      <c r="Y163" s="34" t="s">
        <v>574</v>
      </c>
      <c r="Z163" s="61" t="s">
        <v>393</v>
      </c>
      <c r="AA163" s="61" t="s">
        <v>393</v>
      </c>
      <c r="AB163" s="62">
        <v>4</v>
      </c>
      <c r="AC163" s="63" t="s">
        <v>241</v>
      </c>
      <c r="AD163" s="64" t="s">
        <v>242</v>
      </c>
      <c r="AE163" s="205">
        <v>8160152</v>
      </c>
      <c r="AF163" s="205">
        <v>8160152</v>
      </c>
      <c r="AG163" s="63" t="s">
        <v>244</v>
      </c>
      <c r="AH163" s="64" t="s">
        <v>245</v>
      </c>
      <c r="AI163" s="66" t="s">
        <v>246</v>
      </c>
      <c r="AJ163" s="67" t="s">
        <v>247</v>
      </c>
      <c r="AK163" s="68" t="s">
        <v>372</v>
      </c>
      <c r="AL163" s="69" t="s">
        <v>248</v>
      </c>
      <c r="AM163" s="70" t="s">
        <v>249</v>
      </c>
      <c r="AN163" s="65" t="s">
        <v>244</v>
      </c>
      <c r="AO163" s="65" t="s">
        <v>244</v>
      </c>
      <c r="AP163" s="71" t="s">
        <v>250</v>
      </c>
      <c r="AQ163" s="72" t="s">
        <v>251</v>
      </c>
      <c r="AR163" s="72" t="s">
        <v>252</v>
      </c>
      <c r="AS163" s="72" t="s">
        <v>250</v>
      </c>
      <c r="AT163" s="71"/>
      <c r="AU163" s="72"/>
    </row>
    <row r="164" spans="1:47" ht="33.75" x14ac:dyDescent="0.2">
      <c r="A164" s="216">
        <v>314</v>
      </c>
      <c r="B164" s="33" t="s">
        <v>90</v>
      </c>
      <c r="C164" s="33" t="s">
        <v>78</v>
      </c>
      <c r="D164" s="33" t="s">
        <v>375</v>
      </c>
      <c r="E164" s="33"/>
      <c r="F164" s="33" t="s">
        <v>374</v>
      </c>
      <c r="G164" s="45" t="s">
        <v>69</v>
      </c>
      <c r="H164" s="45" t="s">
        <v>28</v>
      </c>
      <c r="I164" s="75">
        <v>2326560</v>
      </c>
      <c r="J164" s="195">
        <v>4</v>
      </c>
      <c r="K164" s="93">
        <v>9306240</v>
      </c>
      <c r="L164" s="59">
        <v>45136</v>
      </c>
      <c r="M164" s="58">
        <v>45260</v>
      </c>
      <c r="N164" s="78">
        <v>9306240</v>
      </c>
      <c r="O164" s="99"/>
      <c r="P164" s="99"/>
      <c r="Q164" s="201">
        <v>0</v>
      </c>
      <c r="R164" s="93">
        <v>9306240</v>
      </c>
      <c r="S164" s="202" t="s">
        <v>243</v>
      </c>
      <c r="T164" s="203" t="s">
        <v>373</v>
      </c>
      <c r="U164" s="204" t="s">
        <v>361</v>
      </c>
      <c r="V164" s="83" t="s">
        <v>244</v>
      </c>
      <c r="W164" s="84" t="str">
        <f t="shared" si="3"/>
        <v>CLE-314</v>
      </c>
      <c r="X164" s="202">
        <v>80111600</v>
      </c>
      <c r="Y164" s="34" t="s">
        <v>574</v>
      </c>
      <c r="Z164" s="61" t="s">
        <v>393</v>
      </c>
      <c r="AA164" s="61" t="s">
        <v>393</v>
      </c>
      <c r="AB164" s="62">
        <v>4</v>
      </c>
      <c r="AC164" s="63" t="s">
        <v>241</v>
      </c>
      <c r="AD164" s="64" t="s">
        <v>242</v>
      </c>
      <c r="AE164" s="205">
        <v>9306240</v>
      </c>
      <c r="AF164" s="205">
        <v>9306240</v>
      </c>
      <c r="AG164" s="63" t="s">
        <v>244</v>
      </c>
      <c r="AH164" s="64" t="s">
        <v>245</v>
      </c>
      <c r="AI164" s="66" t="s">
        <v>246</v>
      </c>
      <c r="AJ164" s="67" t="s">
        <v>247</v>
      </c>
      <c r="AK164" s="68" t="s">
        <v>372</v>
      </c>
      <c r="AL164" s="69" t="s">
        <v>248</v>
      </c>
      <c r="AM164" s="70" t="s">
        <v>249</v>
      </c>
      <c r="AN164" s="65" t="s">
        <v>244</v>
      </c>
      <c r="AO164" s="65" t="s">
        <v>244</v>
      </c>
      <c r="AP164" s="71" t="s">
        <v>250</v>
      </c>
      <c r="AQ164" s="72" t="s">
        <v>251</v>
      </c>
      <c r="AR164" s="72" t="s">
        <v>252</v>
      </c>
      <c r="AS164" s="72" t="s">
        <v>250</v>
      </c>
      <c r="AT164" s="71"/>
      <c r="AU164" s="72"/>
    </row>
    <row r="165" spans="1:47" ht="33.75" x14ac:dyDescent="0.2">
      <c r="A165" s="216">
        <v>315</v>
      </c>
      <c r="B165" s="33" t="s">
        <v>90</v>
      </c>
      <c r="C165" s="33" t="s">
        <v>78</v>
      </c>
      <c r="D165" s="33" t="s">
        <v>375</v>
      </c>
      <c r="E165" s="33"/>
      <c r="F165" s="33" t="s">
        <v>374</v>
      </c>
      <c r="G165" s="45" t="s">
        <v>69</v>
      </c>
      <c r="H165" s="45" t="s">
        <v>28</v>
      </c>
      <c r="I165" s="75">
        <v>3753411</v>
      </c>
      <c r="J165" s="195">
        <v>4</v>
      </c>
      <c r="K165" s="93">
        <v>15013644</v>
      </c>
      <c r="L165" s="59">
        <v>45136</v>
      </c>
      <c r="M165" s="58">
        <v>45260</v>
      </c>
      <c r="N165" s="78">
        <v>15013644</v>
      </c>
      <c r="O165" s="99"/>
      <c r="P165" s="99"/>
      <c r="Q165" s="201">
        <v>0</v>
      </c>
      <c r="R165" s="93">
        <v>15013644</v>
      </c>
      <c r="S165" s="202" t="s">
        <v>243</v>
      </c>
      <c r="T165" s="203" t="s">
        <v>373</v>
      </c>
      <c r="U165" s="204" t="s">
        <v>361</v>
      </c>
      <c r="V165" s="83" t="s">
        <v>244</v>
      </c>
      <c r="W165" s="84" t="str">
        <f t="shared" si="3"/>
        <v>CLE-315</v>
      </c>
      <c r="X165" s="202">
        <v>80111600</v>
      </c>
      <c r="Y165" s="34" t="s">
        <v>574</v>
      </c>
      <c r="Z165" s="61" t="s">
        <v>393</v>
      </c>
      <c r="AA165" s="61" t="s">
        <v>393</v>
      </c>
      <c r="AB165" s="62">
        <v>4</v>
      </c>
      <c r="AC165" s="63" t="s">
        <v>241</v>
      </c>
      <c r="AD165" s="64" t="s">
        <v>242</v>
      </c>
      <c r="AE165" s="205">
        <v>15013644</v>
      </c>
      <c r="AF165" s="205">
        <v>15013644</v>
      </c>
      <c r="AG165" s="63" t="s">
        <v>244</v>
      </c>
      <c r="AH165" s="64" t="s">
        <v>245</v>
      </c>
      <c r="AI165" s="66" t="s">
        <v>246</v>
      </c>
      <c r="AJ165" s="67" t="s">
        <v>247</v>
      </c>
      <c r="AK165" s="68" t="s">
        <v>372</v>
      </c>
      <c r="AL165" s="69" t="s">
        <v>248</v>
      </c>
      <c r="AM165" s="70" t="s">
        <v>249</v>
      </c>
      <c r="AN165" s="65" t="s">
        <v>244</v>
      </c>
      <c r="AO165" s="65" t="s">
        <v>244</v>
      </c>
      <c r="AP165" s="71" t="s">
        <v>250</v>
      </c>
      <c r="AQ165" s="72" t="s">
        <v>251</v>
      </c>
      <c r="AR165" s="72" t="s">
        <v>252</v>
      </c>
      <c r="AS165" s="72" t="s">
        <v>250</v>
      </c>
      <c r="AT165" s="71"/>
      <c r="AU165" s="72"/>
    </row>
    <row r="166" spans="1:47" ht="33.75" x14ac:dyDescent="0.2">
      <c r="A166" s="216">
        <v>316</v>
      </c>
      <c r="B166" s="33" t="s">
        <v>90</v>
      </c>
      <c r="C166" s="33" t="s">
        <v>78</v>
      </c>
      <c r="D166" s="33" t="s">
        <v>375</v>
      </c>
      <c r="E166" s="33"/>
      <c r="F166" s="33" t="s">
        <v>374</v>
      </c>
      <c r="G166" s="45" t="s">
        <v>67</v>
      </c>
      <c r="H166" s="45" t="s">
        <v>28</v>
      </c>
      <c r="I166" s="75">
        <v>1186916</v>
      </c>
      <c r="J166" s="195">
        <v>4</v>
      </c>
      <c r="K166" s="93">
        <v>4747664</v>
      </c>
      <c r="L166" s="59">
        <v>45136</v>
      </c>
      <c r="M166" s="58">
        <v>45260</v>
      </c>
      <c r="N166" s="78">
        <v>4747664</v>
      </c>
      <c r="O166" s="99"/>
      <c r="P166" s="99"/>
      <c r="Q166" s="201">
        <v>0</v>
      </c>
      <c r="R166" s="93">
        <v>4747664</v>
      </c>
      <c r="S166" s="202" t="s">
        <v>243</v>
      </c>
      <c r="T166" s="203" t="s">
        <v>373</v>
      </c>
      <c r="U166" s="204" t="s">
        <v>361</v>
      </c>
      <c r="V166" s="83" t="s">
        <v>244</v>
      </c>
      <c r="W166" s="84" t="str">
        <f t="shared" si="3"/>
        <v>CLE-316</v>
      </c>
      <c r="X166" s="202">
        <v>80111600</v>
      </c>
      <c r="Y166" s="34" t="s">
        <v>574</v>
      </c>
      <c r="Z166" s="61" t="s">
        <v>393</v>
      </c>
      <c r="AA166" s="61" t="s">
        <v>393</v>
      </c>
      <c r="AB166" s="62">
        <v>4</v>
      </c>
      <c r="AC166" s="63" t="s">
        <v>241</v>
      </c>
      <c r="AD166" s="64" t="s">
        <v>242</v>
      </c>
      <c r="AE166" s="205">
        <v>4747664</v>
      </c>
      <c r="AF166" s="205">
        <v>4747664</v>
      </c>
      <c r="AG166" s="63" t="s">
        <v>244</v>
      </c>
      <c r="AH166" s="64" t="s">
        <v>245</v>
      </c>
      <c r="AI166" s="66" t="s">
        <v>246</v>
      </c>
      <c r="AJ166" s="67" t="s">
        <v>247</v>
      </c>
      <c r="AK166" s="68" t="s">
        <v>372</v>
      </c>
      <c r="AL166" s="69" t="s">
        <v>248</v>
      </c>
      <c r="AM166" s="70" t="s">
        <v>249</v>
      </c>
      <c r="AN166" s="65" t="s">
        <v>244</v>
      </c>
      <c r="AO166" s="65" t="s">
        <v>244</v>
      </c>
      <c r="AP166" s="71" t="s">
        <v>250</v>
      </c>
      <c r="AQ166" s="72" t="s">
        <v>251</v>
      </c>
      <c r="AR166" s="72" t="s">
        <v>252</v>
      </c>
      <c r="AS166" s="72" t="s">
        <v>250</v>
      </c>
      <c r="AT166" s="71"/>
      <c r="AU166" s="72"/>
    </row>
    <row r="167" spans="1:47" ht="33.75" x14ac:dyDescent="0.2">
      <c r="A167" s="216">
        <v>317</v>
      </c>
      <c r="B167" s="33" t="s">
        <v>90</v>
      </c>
      <c r="C167" s="33" t="s">
        <v>78</v>
      </c>
      <c r="D167" s="33" t="s">
        <v>375</v>
      </c>
      <c r="E167" s="33"/>
      <c r="F167" s="45" t="s">
        <v>374</v>
      </c>
      <c r="G167" s="45" t="s">
        <v>69</v>
      </c>
      <c r="H167" s="45" t="s">
        <v>28</v>
      </c>
      <c r="I167" s="95">
        <v>3002729</v>
      </c>
      <c r="J167" s="195">
        <v>4</v>
      </c>
      <c r="K167" s="100">
        <v>12010916</v>
      </c>
      <c r="L167" s="59">
        <v>45136</v>
      </c>
      <c r="M167" s="58">
        <v>45260</v>
      </c>
      <c r="N167" s="80">
        <v>12010916</v>
      </c>
      <c r="O167" s="86"/>
      <c r="P167" s="86"/>
      <c r="Q167" s="78">
        <v>0</v>
      </c>
      <c r="R167" s="93">
        <v>12010916</v>
      </c>
      <c r="S167" s="87" t="s">
        <v>243</v>
      </c>
      <c r="T167" s="82" t="s">
        <v>373</v>
      </c>
      <c r="U167" s="88" t="s">
        <v>361</v>
      </c>
      <c r="V167" s="83" t="s">
        <v>244</v>
      </c>
      <c r="W167" s="84" t="str">
        <f t="shared" si="3"/>
        <v>CLE-317</v>
      </c>
      <c r="X167" s="87">
        <v>80111600</v>
      </c>
      <c r="Y167" s="34" t="s">
        <v>574</v>
      </c>
      <c r="Z167" s="61" t="s">
        <v>393</v>
      </c>
      <c r="AA167" s="61" t="s">
        <v>393</v>
      </c>
      <c r="AB167" s="62">
        <v>4</v>
      </c>
      <c r="AC167" s="63" t="s">
        <v>241</v>
      </c>
      <c r="AD167" s="64" t="s">
        <v>242</v>
      </c>
      <c r="AE167" s="50">
        <v>12010916</v>
      </c>
      <c r="AF167" s="50">
        <v>12010916</v>
      </c>
      <c r="AG167" s="65" t="s">
        <v>244</v>
      </c>
      <c r="AH167" s="65" t="s">
        <v>245</v>
      </c>
      <c r="AI167" s="66" t="s">
        <v>246</v>
      </c>
      <c r="AJ167" s="67" t="s">
        <v>247</v>
      </c>
      <c r="AK167" s="68" t="s">
        <v>372</v>
      </c>
      <c r="AL167" s="69" t="s">
        <v>248</v>
      </c>
      <c r="AM167" s="70" t="s">
        <v>249</v>
      </c>
      <c r="AN167" s="65" t="s">
        <v>244</v>
      </c>
      <c r="AO167" s="65" t="s">
        <v>244</v>
      </c>
      <c r="AP167" s="71" t="s">
        <v>250</v>
      </c>
      <c r="AQ167" s="72" t="s">
        <v>251</v>
      </c>
      <c r="AR167" s="72" t="s">
        <v>252</v>
      </c>
      <c r="AS167" s="72" t="s">
        <v>250</v>
      </c>
      <c r="AT167" s="72"/>
      <c r="AU167" s="72"/>
    </row>
    <row r="168" spans="1:47" ht="33.75" x14ac:dyDescent="0.2">
      <c r="A168" s="216">
        <v>318</v>
      </c>
      <c r="B168" s="33" t="s">
        <v>90</v>
      </c>
      <c r="C168" s="33" t="s">
        <v>78</v>
      </c>
      <c r="D168" s="33" t="s">
        <v>375</v>
      </c>
      <c r="E168" s="33"/>
      <c r="F168" s="45" t="s">
        <v>374</v>
      </c>
      <c r="G168" s="45" t="s">
        <v>69</v>
      </c>
      <c r="H168" s="45" t="s">
        <v>28</v>
      </c>
      <c r="I168" s="95">
        <v>5630117</v>
      </c>
      <c r="J168" s="195">
        <v>4</v>
      </c>
      <c r="K168" s="100">
        <v>22520468</v>
      </c>
      <c r="L168" s="59">
        <v>45136</v>
      </c>
      <c r="M168" s="58">
        <v>45260</v>
      </c>
      <c r="N168" s="80">
        <v>22520468</v>
      </c>
      <c r="O168" s="86"/>
      <c r="P168" s="86"/>
      <c r="Q168" s="78">
        <v>0</v>
      </c>
      <c r="R168" s="93">
        <v>22520468</v>
      </c>
      <c r="S168" s="87" t="s">
        <v>243</v>
      </c>
      <c r="T168" s="82" t="s">
        <v>373</v>
      </c>
      <c r="U168" s="88" t="s">
        <v>361</v>
      </c>
      <c r="V168" s="83" t="s">
        <v>244</v>
      </c>
      <c r="W168" s="84" t="str">
        <f t="shared" ref="W168:W209" si="4">"CLE-"&amp;A168</f>
        <v>CLE-318</v>
      </c>
      <c r="X168" s="87">
        <v>80111600</v>
      </c>
      <c r="Y168" s="34" t="s">
        <v>574</v>
      </c>
      <c r="Z168" s="61" t="s">
        <v>393</v>
      </c>
      <c r="AA168" s="61" t="s">
        <v>393</v>
      </c>
      <c r="AB168" s="62">
        <v>4</v>
      </c>
      <c r="AC168" s="63" t="s">
        <v>241</v>
      </c>
      <c r="AD168" s="64" t="s">
        <v>242</v>
      </c>
      <c r="AE168" s="50">
        <v>22520468</v>
      </c>
      <c r="AF168" s="50">
        <v>22520468</v>
      </c>
      <c r="AG168" s="65" t="s">
        <v>244</v>
      </c>
      <c r="AH168" s="65" t="s">
        <v>245</v>
      </c>
      <c r="AI168" s="66" t="s">
        <v>246</v>
      </c>
      <c r="AJ168" s="67" t="s">
        <v>247</v>
      </c>
      <c r="AK168" s="68" t="s">
        <v>372</v>
      </c>
      <c r="AL168" s="69" t="s">
        <v>248</v>
      </c>
      <c r="AM168" s="70" t="s">
        <v>249</v>
      </c>
      <c r="AN168" s="65" t="s">
        <v>244</v>
      </c>
      <c r="AO168" s="65" t="s">
        <v>244</v>
      </c>
      <c r="AP168" s="71" t="s">
        <v>250</v>
      </c>
      <c r="AQ168" s="72" t="s">
        <v>251</v>
      </c>
      <c r="AR168" s="72" t="s">
        <v>252</v>
      </c>
      <c r="AS168" s="72" t="s">
        <v>250</v>
      </c>
      <c r="AT168" s="72"/>
      <c r="AU168" s="72"/>
    </row>
    <row r="169" spans="1:47" ht="33.75" x14ac:dyDescent="0.2">
      <c r="A169" s="216">
        <v>319</v>
      </c>
      <c r="B169" s="33" t="s">
        <v>90</v>
      </c>
      <c r="C169" s="33" t="s">
        <v>78</v>
      </c>
      <c r="D169" s="33" t="s">
        <v>375</v>
      </c>
      <c r="E169" s="33"/>
      <c r="F169" s="45" t="s">
        <v>374</v>
      </c>
      <c r="G169" s="45" t="s">
        <v>69</v>
      </c>
      <c r="H169" s="45" t="s">
        <v>28</v>
      </c>
      <c r="I169" s="95">
        <v>0</v>
      </c>
      <c r="J169" s="195">
        <v>4</v>
      </c>
      <c r="K169" s="100">
        <v>9330066</v>
      </c>
      <c r="L169" s="59">
        <v>45136</v>
      </c>
      <c r="M169" s="58">
        <v>45260</v>
      </c>
      <c r="N169" s="80">
        <v>9330066</v>
      </c>
      <c r="O169" s="86"/>
      <c r="P169" s="86"/>
      <c r="Q169" s="78">
        <v>0</v>
      </c>
      <c r="R169" s="93">
        <v>9330066</v>
      </c>
      <c r="S169" s="87" t="s">
        <v>243</v>
      </c>
      <c r="T169" s="82" t="s">
        <v>373</v>
      </c>
      <c r="U169" s="88" t="s">
        <v>361</v>
      </c>
      <c r="V169" s="83" t="s">
        <v>244</v>
      </c>
      <c r="W169" s="84" t="str">
        <f t="shared" si="4"/>
        <v>CLE-319</v>
      </c>
      <c r="X169" s="87">
        <v>80111600</v>
      </c>
      <c r="Y169" s="34" t="s">
        <v>574</v>
      </c>
      <c r="Z169" s="61" t="s">
        <v>393</v>
      </c>
      <c r="AA169" s="61" t="s">
        <v>393</v>
      </c>
      <c r="AB169" s="62">
        <v>4</v>
      </c>
      <c r="AC169" s="63" t="s">
        <v>241</v>
      </c>
      <c r="AD169" s="64" t="s">
        <v>242</v>
      </c>
      <c r="AE169" s="50">
        <v>9330066</v>
      </c>
      <c r="AF169" s="50">
        <v>9330066</v>
      </c>
      <c r="AG169" s="65" t="s">
        <v>244</v>
      </c>
      <c r="AH169" s="65" t="s">
        <v>245</v>
      </c>
      <c r="AI169" s="66" t="s">
        <v>246</v>
      </c>
      <c r="AJ169" s="67" t="s">
        <v>247</v>
      </c>
      <c r="AK169" s="68" t="s">
        <v>372</v>
      </c>
      <c r="AL169" s="69" t="s">
        <v>248</v>
      </c>
      <c r="AM169" s="70" t="s">
        <v>249</v>
      </c>
      <c r="AN169" s="65" t="s">
        <v>244</v>
      </c>
      <c r="AO169" s="65" t="s">
        <v>244</v>
      </c>
      <c r="AP169" s="71" t="s">
        <v>250</v>
      </c>
      <c r="AQ169" s="72" t="s">
        <v>251</v>
      </c>
      <c r="AR169" s="72" t="s">
        <v>252</v>
      </c>
      <c r="AS169" s="72" t="s">
        <v>250</v>
      </c>
      <c r="AT169" s="72"/>
      <c r="AU169" s="72"/>
    </row>
    <row r="170" spans="1:47" ht="33.75" x14ac:dyDescent="0.2">
      <c r="A170" s="216">
        <v>320</v>
      </c>
      <c r="B170" s="33" t="s">
        <v>90</v>
      </c>
      <c r="C170" s="33" t="s">
        <v>78</v>
      </c>
      <c r="D170" s="33" t="s">
        <v>375</v>
      </c>
      <c r="E170" s="33"/>
      <c r="F170" s="33" t="s">
        <v>374</v>
      </c>
      <c r="G170" s="45" t="s">
        <v>69</v>
      </c>
      <c r="H170" s="45" t="s">
        <v>28</v>
      </c>
      <c r="I170" s="75">
        <v>998049</v>
      </c>
      <c r="J170" s="195">
        <v>4</v>
      </c>
      <c r="K170" s="93">
        <v>3992196</v>
      </c>
      <c r="L170" s="59">
        <v>45136</v>
      </c>
      <c r="M170" s="58">
        <v>45260</v>
      </c>
      <c r="N170" s="78">
        <v>3992196</v>
      </c>
      <c r="O170" s="99"/>
      <c r="P170" s="99"/>
      <c r="Q170" s="201">
        <v>0</v>
      </c>
      <c r="R170" s="93">
        <v>3992196</v>
      </c>
      <c r="S170" s="202" t="s">
        <v>243</v>
      </c>
      <c r="T170" s="203" t="s">
        <v>373</v>
      </c>
      <c r="U170" s="204" t="s">
        <v>361</v>
      </c>
      <c r="V170" s="83" t="s">
        <v>244</v>
      </c>
      <c r="W170" s="84" t="str">
        <f t="shared" si="4"/>
        <v>CLE-320</v>
      </c>
      <c r="X170" s="202">
        <v>80111600</v>
      </c>
      <c r="Y170" s="34" t="s">
        <v>574</v>
      </c>
      <c r="Z170" s="61" t="s">
        <v>393</v>
      </c>
      <c r="AA170" s="61" t="s">
        <v>393</v>
      </c>
      <c r="AB170" s="62">
        <v>4</v>
      </c>
      <c r="AC170" s="63" t="s">
        <v>241</v>
      </c>
      <c r="AD170" s="64" t="s">
        <v>242</v>
      </c>
      <c r="AE170" s="205">
        <v>3992196</v>
      </c>
      <c r="AF170" s="205">
        <v>3992196</v>
      </c>
      <c r="AG170" s="63" t="s">
        <v>244</v>
      </c>
      <c r="AH170" s="64" t="s">
        <v>245</v>
      </c>
      <c r="AI170" s="66" t="s">
        <v>246</v>
      </c>
      <c r="AJ170" s="67" t="s">
        <v>247</v>
      </c>
      <c r="AK170" s="68" t="s">
        <v>372</v>
      </c>
      <c r="AL170" s="69" t="s">
        <v>248</v>
      </c>
      <c r="AM170" s="70" t="s">
        <v>249</v>
      </c>
      <c r="AN170" s="65" t="s">
        <v>244</v>
      </c>
      <c r="AO170" s="65" t="s">
        <v>244</v>
      </c>
      <c r="AP170" s="71" t="s">
        <v>250</v>
      </c>
      <c r="AQ170" s="72" t="s">
        <v>251</v>
      </c>
      <c r="AR170" s="72" t="s">
        <v>252</v>
      </c>
      <c r="AS170" s="72" t="s">
        <v>250</v>
      </c>
      <c r="AT170" s="71"/>
      <c r="AU170" s="72"/>
    </row>
    <row r="171" spans="1:47" ht="33.75" x14ac:dyDescent="0.2">
      <c r="A171" s="216">
        <v>321</v>
      </c>
      <c r="B171" s="33" t="s">
        <v>90</v>
      </c>
      <c r="C171" s="33" t="s">
        <v>78</v>
      </c>
      <c r="D171" s="33" t="s">
        <v>375</v>
      </c>
      <c r="E171" s="33"/>
      <c r="F171" s="33" t="s">
        <v>374</v>
      </c>
      <c r="G171" s="45" t="s">
        <v>69</v>
      </c>
      <c r="H171" s="45" t="s">
        <v>28</v>
      </c>
      <c r="I171" s="75">
        <v>998049</v>
      </c>
      <c r="J171" s="195">
        <v>4</v>
      </c>
      <c r="K171" s="93">
        <v>3992196</v>
      </c>
      <c r="L171" s="59">
        <v>45136</v>
      </c>
      <c r="M171" s="58">
        <v>45260</v>
      </c>
      <c r="N171" s="78">
        <v>3992196</v>
      </c>
      <c r="O171" s="99"/>
      <c r="P171" s="99"/>
      <c r="Q171" s="201">
        <v>0</v>
      </c>
      <c r="R171" s="93">
        <v>3992196</v>
      </c>
      <c r="S171" s="202" t="s">
        <v>243</v>
      </c>
      <c r="T171" s="203" t="s">
        <v>373</v>
      </c>
      <c r="U171" s="204" t="s">
        <v>361</v>
      </c>
      <c r="V171" s="83" t="s">
        <v>244</v>
      </c>
      <c r="W171" s="84" t="str">
        <f t="shared" si="4"/>
        <v>CLE-321</v>
      </c>
      <c r="X171" s="202">
        <v>80111600</v>
      </c>
      <c r="Y171" s="34" t="s">
        <v>574</v>
      </c>
      <c r="Z171" s="61" t="s">
        <v>393</v>
      </c>
      <c r="AA171" s="61" t="s">
        <v>393</v>
      </c>
      <c r="AB171" s="62">
        <v>4</v>
      </c>
      <c r="AC171" s="63" t="s">
        <v>241</v>
      </c>
      <c r="AD171" s="64" t="s">
        <v>242</v>
      </c>
      <c r="AE171" s="205">
        <v>3992196</v>
      </c>
      <c r="AF171" s="205">
        <v>3992196</v>
      </c>
      <c r="AG171" s="63" t="s">
        <v>244</v>
      </c>
      <c r="AH171" s="64" t="s">
        <v>245</v>
      </c>
      <c r="AI171" s="66" t="s">
        <v>246</v>
      </c>
      <c r="AJ171" s="67" t="s">
        <v>247</v>
      </c>
      <c r="AK171" s="68" t="s">
        <v>372</v>
      </c>
      <c r="AL171" s="69" t="s">
        <v>248</v>
      </c>
      <c r="AM171" s="70" t="s">
        <v>249</v>
      </c>
      <c r="AN171" s="65" t="s">
        <v>244</v>
      </c>
      <c r="AO171" s="65" t="s">
        <v>244</v>
      </c>
      <c r="AP171" s="71" t="s">
        <v>250</v>
      </c>
      <c r="AQ171" s="72" t="s">
        <v>251</v>
      </c>
      <c r="AR171" s="72" t="s">
        <v>252</v>
      </c>
      <c r="AS171" s="72" t="s">
        <v>250</v>
      </c>
      <c r="AT171" s="71"/>
      <c r="AU171" s="72"/>
    </row>
    <row r="172" spans="1:47" ht="33.75" x14ac:dyDescent="0.2">
      <c r="A172" s="216">
        <v>322</v>
      </c>
      <c r="B172" s="33" t="s">
        <v>90</v>
      </c>
      <c r="C172" s="33" t="s">
        <v>78</v>
      </c>
      <c r="D172" s="33" t="s">
        <v>375</v>
      </c>
      <c r="E172" s="33"/>
      <c r="F172" s="33" t="s">
        <v>374</v>
      </c>
      <c r="G172" s="45" t="s">
        <v>69</v>
      </c>
      <c r="H172" s="45" t="s">
        <v>28</v>
      </c>
      <c r="I172" s="75">
        <v>998049</v>
      </c>
      <c r="J172" s="195">
        <v>4</v>
      </c>
      <c r="K172" s="93">
        <v>3992196</v>
      </c>
      <c r="L172" s="59">
        <v>45136</v>
      </c>
      <c r="M172" s="58">
        <v>45260</v>
      </c>
      <c r="N172" s="78">
        <v>3992196</v>
      </c>
      <c r="O172" s="99"/>
      <c r="P172" s="99"/>
      <c r="Q172" s="201">
        <v>0</v>
      </c>
      <c r="R172" s="93">
        <v>3992196</v>
      </c>
      <c r="S172" s="202" t="s">
        <v>243</v>
      </c>
      <c r="T172" s="203" t="s">
        <v>373</v>
      </c>
      <c r="U172" s="204" t="s">
        <v>361</v>
      </c>
      <c r="V172" s="83" t="s">
        <v>244</v>
      </c>
      <c r="W172" s="84" t="str">
        <f t="shared" si="4"/>
        <v>CLE-322</v>
      </c>
      <c r="X172" s="202">
        <v>80111600</v>
      </c>
      <c r="Y172" s="34" t="s">
        <v>574</v>
      </c>
      <c r="Z172" s="61" t="s">
        <v>393</v>
      </c>
      <c r="AA172" s="61" t="s">
        <v>393</v>
      </c>
      <c r="AB172" s="62">
        <v>4</v>
      </c>
      <c r="AC172" s="63" t="s">
        <v>241</v>
      </c>
      <c r="AD172" s="64" t="s">
        <v>242</v>
      </c>
      <c r="AE172" s="205">
        <v>3992196</v>
      </c>
      <c r="AF172" s="205">
        <v>3992196</v>
      </c>
      <c r="AG172" s="63" t="s">
        <v>244</v>
      </c>
      <c r="AH172" s="64" t="s">
        <v>245</v>
      </c>
      <c r="AI172" s="66" t="s">
        <v>246</v>
      </c>
      <c r="AJ172" s="67" t="s">
        <v>247</v>
      </c>
      <c r="AK172" s="68" t="s">
        <v>372</v>
      </c>
      <c r="AL172" s="69" t="s">
        <v>248</v>
      </c>
      <c r="AM172" s="70" t="s">
        <v>249</v>
      </c>
      <c r="AN172" s="65" t="s">
        <v>244</v>
      </c>
      <c r="AO172" s="65" t="s">
        <v>244</v>
      </c>
      <c r="AP172" s="71" t="s">
        <v>250</v>
      </c>
      <c r="AQ172" s="72" t="s">
        <v>251</v>
      </c>
      <c r="AR172" s="72" t="s">
        <v>252</v>
      </c>
      <c r="AS172" s="72" t="s">
        <v>250</v>
      </c>
      <c r="AT172" s="71"/>
      <c r="AU172" s="72"/>
    </row>
    <row r="173" spans="1:47" ht="33.75" x14ac:dyDescent="0.2">
      <c r="A173" s="216">
        <v>323</v>
      </c>
      <c r="B173" s="33" t="s">
        <v>90</v>
      </c>
      <c r="C173" s="33" t="s">
        <v>78</v>
      </c>
      <c r="D173" s="33" t="s">
        <v>375</v>
      </c>
      <c r="E173" s="33"/>
      <c r="F173" s="33" t="s">
        <v>374</v>
      </c>
      <c r="G173" s="45" t="s">
        <v>69</v>
      </c>
      <c r="H173" s="45" t="s">
        <v>28</v>
      </c>
      <c r="I173" s="75">
        <v>998049</v>
      </c>
      <c r="J173" s="195">
        <v>4</v>
      </c>
      <c r="K173" s="93">
        <v>3992196</v>
      </c>
      <c r="L173" s="59">
        <v>45136</v>
      </c>
      <c r="M173" s="58">
        <v>45260</v>
      </c>
      <c r="N173" s="78">
        <v>3992196</v>
      </c>
      <c r="O173" s="99"/>
      <c r="P173" s="99"/>
      <c r="Q173" s="201">
        <v>0</v>
      </c>
      <c r="R173" s="93">
        <v>3992196</v>
      </c>
      <c r="S173" s="202" t="s">
        <v>243</v>
      </c>
      <c r="T173" s="203" t="s">
        <v>373</v>
      </c>
      <c r="U173" s="204" t="s">
        <v>361</v>
      </c>
      <c r="V173" s="83" t="s">
        <v>244</v>
      </c>
      <c r="W173" s="84" t="str">
        <f t="shared" si="4"/>
        <v>CLE-323</v>
      </c>
      <c r="X173" s="202">
        <v>80111600</v>
      </c>
      <c r="Y173" s="34" t="s">
        <v>574</v>
      </c>
      <c r="Z173" s="61" t="s">
        <v>393</v>
      </c>
      <c r="AA173" s="61" t="s">
        <v>393</v>
      </c>
      <c r="AB173" s="62">
        <v>4</v>
      </c>
      <c r="AC173" s="63" t="s">
        <v>241</v>
      </c>
      <c r="AD173" s="64" t="s">
        <v>242</v>
      </c>
      <c r="AE173" s="205">
        <v>3992196</v>
      </c>
      <c r="AF173" s="205">
        <v>3992196</v>
      </c>
      <c r="AG173" s="63" t="s">
        <v>244</v>
      </c>
      <c r="AH173" s="64" t="s">
        <v>245</v>
      </c>
      <c r="AI173" s="66" t="s">
        <v>246</v>
      </c>
      <c r="AJ173" s="67" t="s">
        <v>247</v>
      </c>
      <c r="AK173" s="68" t="s">
        <v>372</v>
      </c>
      <c r="AL173" s="69" t="s">
        <v>248</v>
      </c>
      <c r="AM173" s="70" t="s">
        <v>249</v>
      </c>
      <c r="AN173" s="65" t="s">
        <v>244</v>
      </c>
      <c r="AO173" s="65" t="s">
        <v>244</v>
      </c>
      <c r="AP173" s="71" t="s">
        <v>250</v>
      </c>
      <c r="AQ173" s="72" t="s">
        <v>251</v>
      </c>
      <c r="AR173" s="72" t="s">
        <v>252</v>
      </c>
      <c r="AS173" s="72" t="s">
        <v>250</v>
      </c>
      <c r="AT173" s="71"/>
      <c r="AU173" s="72"/>
    </row>
    <row r="174" spans="1:47" ht="33.75" x14ac:dyDescent="0.2">
      <c r="A174" s="216">
        <v>324</v>
      </c>
      <c r="B174" s="33" t="s">
        <v>90</v>
      </c>
      <c r="C174" s="33" t="s">
        <v>78</v>
      </c>
      <c r="D174" s="33" t="s">
        <v>375</v>
      </c>
      <c r="E174" s="33"/>
      <c r="F174" s="45" t="s">
        <v>374</v>
      </c>
      <c r="G174" s="45" t="s">
        <v>69</v>
      </c>
      <c r="H174" s="45" t="s">
        <v>28</v>
      </c>
      <c r="I174" s="95">
        <v>998049</v>
      </c>
      <c r="J174" s="195">
        <v>4</v>
      </c>
      <c r="K174" s="100">
        <v>3992196</v>
      </c>
      <c r="L174" s="59">
        <v>45136</v>
      </c>
      <c r="M174" s="58">
        <v>45260</v>
      </c>
      <c r="N174" s="80">
        <v>3992196</v>
      </c>
      <c r="O174" s="86"/>
      <c r="P174" s="86"/>
      <c r="Q174" s="78">
        <v>0</v>
      </c>
      <c r="R174" s="93">
        <v>3992196</v>
      </c>
      <c r="S174" s="87" t="s">
        <v>243</v>
      </c>
      <c r="T174" s="82" t="s">
        <v>373</v>
      </c>
      <c r="U174" s="88" t="s">
        <v>361</v>
      </c>
      <c r="V174" s="83" t="s">
        <v>244</v>
      </c>
      <c r="W174" s="84" t="str">
        <f t="shared" si="4"/>
        <v>CLE-324</v>
      </c>
      <c r="X174" s="87">
        <v>80111600</v>
      </c>
      <c r="Y174" s="34" t="s">
        <v>574</v>
      </c>
      <c r="Z174" s="61" t="s">
        <v>393</v>
      </c>
      <c r="AA174" s="61" t="s">
        <v>393</v>
      </c>
      <c r="AB174" s="62">
        <v>4</v>
      </c>
      <c r="AC174" s="63" t="s">
        <v>241</v>
      </c>
      <c r="AD174" s="64" t="s">
        <v>242</v>
      </c>
      <c r="AE174" s="50">
        <v>3992196</v>
      </c>
      <c r="AF174" s="50">
        <v>3992196</v>
      </c>
      <c r="AG174" s="65" t="s">
        <v>244</v>
      </c>
      <c r="AH174" s="65" t="s">
        <v>245</v>
      </c>
      <c r="AI174" s="66" t="s">
        <v>246</v>
      </c>
      <c r="AJ174" s="67" t="s">
        <v>247</v>
      </c>
      <c r="AK174" s="68" t="s">
        <v>372</v>
      </c>
      <c r="AL174" s="69" t="s">
        <v>248</v>
      </c>
      <c r="AM174" s="70" t="s">
        <v>249</v>
      </c>
      <c r="AN174" s="65" t="s">
        <v>244</v>
      </c>
      <c r="AO174" s="65" t="s">
        <v>244</v>
      </c>
      <c r="AP174" s="71" t="s">
        <v>250</v>
      </c>
      <c r="AQ174" s="72" t="s">
        <v>251</v>
      </c>
      <c r="AR174" s="72" t="s">
        <v>252</v>
      </c>
      <c r="AS174" s="72" t="s">
        <v>250</v>
      </c>
      <c r="AT174" s="72"/>
      <c r="AU174" s="72"/>
    </row>
    <row r="175" spans="1:47" ht="33.75" x14ac:dyDescent="0.2">
      <c r="A175" s="216">
        <v>325</v>
      </c>
      <c r="B175" s="33" t="s">
        <v>90</v>
      </c>
      <c r="C175" s="33" t="s">
        <v>78</v>
      </c>
      <c r="D175" s="33" t="s">
        <v>375</v>
      </c>
      <c r="E175" s="33"/>
      <c r="F175" s="33" t="s">
        <v>374</v>
      </c>
      <c r="G175" s="45" t="s">
        <v>69</v>
      </c>
      <c r="H175" s="45" t="s">
        <v>28</v>
      </c>
      <c r="I175" s="75">
        <v>998049</v>
      </c>
      <c r="J175" s="195">
        <v>4</v>
      </c>
      <c r="K175" s="93">
        <v>3992196</v>
      </c>
      <c r="L175" s="59">
        <v>45136</v>
      </c>
      <c r="M175" s="58">
        <v>45260</v>
      </c>
      <c r="N175" s="78">
        <v>3992196</v>
      </c>
      <c r="O175" s="99"/>
      <c r="P175" s="99"/>
      <c r="Q175" s="201">
        <v>0</v>
      </c>
      <c r="R175" s="93">
        <v>3992196</v>
      </c>
      <c r="S175" s="202" t="s">
        <v>243</v>
      </c>
      <c r="T175" s="203" t="s">
        <v>373</v>
      </c>
      <c r="U175" s="204" t="s">
        <v>361</v>
      </c>
      <c r="V175" s="83" t="s">
        <v>244</v>
      </c>
      <c r="W175" s="84" t="str">
        <f t="shared" si="4"/>
        <v>CLE-325</v>
      </c>
      <c r="X175" s="202">
        <v>80111600</v>
      </c>
      <c r="Y175" s="34" t="s">
        <v>574</v>
      </c>
      <c r="Z175" s="61" t="s">
        <v>393</v>
      </c>
      <c r="AA175" s="61" t="s">
        <v>393</v>
      </c>
      <c r="AB175" s="62">
        <v>4</v>
      </c>
      <c r="AC175" s="63" t="s">
        <v>241</v>
      </c>
      <c r="AD175" s="64" t="s">
        <v>242</v>
      </c>
      <c r="AE175" s="205">
        <v>3992196</v>
      </c>
      <c r="AF175" s="205">
        <v>3992196</v>
      </c>
      <c r="AG175" s="63" t="s">
        <v>244</v>
      </c>
      <c r="AH175" s="64" t="s">
        <v>245</v>
      </c>
      <c r="AI175" s="66" t="s">
        <v>246</v>
      </c>
      <c r="AJ175" s="67" t="s">
        <v>247</v>
      </c>
      <c r="AK175" s="68" t="s">
        <v>372</v>
      </c>
      <c r="AL175" s="69" t="s">
        <v>248</v>
      </c>
      <c r="AM175" s="70" t="s">
        <v>249</v>
      </c>
      <c r="AN175" s="65" t="s">
        <v>244</v>
      </c>
      <c r="AO175" s="65" t="s">
        <v>244</v>
      </c>
      <c r="AP175" s="71" t="s">
        <v>250</v>
      </c>
      <c r="AQ175" s="72" t="s">
        <v>251</v>
      </c>
      <c r="AR175" s="72" t="s">
        <v>252</v>
      </c>
      <c r="AS175" s="72" t="s">
        <v>250</v>
      </c>
      <c r="AT175" s="71"/>
      <c r="AU175" s="72"/>
    </row>
    <row r="176" spans="1:47" ht="33.75" x14ac:dyDescent="0.2">
      <c r="A176" s="216">
        <v>326</v>
      </c>
      <c r="B176" s="33" t="s">
        <v>90</v>
      </c>
      <c r="C176" s="33" t="s">
        <v>78</v>
      </c>
      <c r="D176" s="33" t="s">
        <v>375</v>
      </c>
      <c r="E176" s="33"/>
      <c r="F176" s="45" t="s">
        <v>374</v>
      </c>
      <c r="G176" s="45" t="s">
        <v>69</v>
      </c>
      <c r="H176" s="45" t="s">
        <v>28</v>
      </c>
      <c r="I176" s="95">
        <v>998049</v>
      </c>
      <c r="J176" s="195">
        <v>4</v>
      </c>
      <c r="K176" s="100">
        <v>3992196</v>
      </c>
      <c r="L176" s="59">
        <v>45136</v>
      </c>
      <c r="M176" s="58">
        <v>45260</v>
      </c>
      <c r="N176" s="80">
        <v>3992196</v>
      </c>
      <c r="O176" s="86"/>
      <c r="P176" s="86"/>
      <c r="Q176" s="78">
        <v>0</v>
      </c>
      <c r="R176" s="93">
        <v>3992196</v>
      </c>
      <c r="S176" s="87" t="s">
        <v>243</v>
      </c>
      <c r="T176" s="82" t="s">
        <v>373</v>
      </c>
      <c r="U176" s="88" t="s">
        <v>361</v>
      </c>
      <c r="V176" s="83" t="s">
        <v>244</v>
      </c>
      <c r="W176" s="84" t="str">
        <f t="shared" si="4"/>
        <v>CLE-326</v>
      </c>
      <c r="X176" s="87">
        <v>80111600</v>
      </c>
      <c r="Y176" s="34" t="s">
        <v>574</v>
      </c>
      <c r="Z176" s="61" t="s">
        <v>393</v>
      </c>
      <c r="AA176" s="61" t="s">
        <v>393</v>
      </c>
      <c r="AB176" s="62">
        <v>4</v>
      </c>
      <c r="AC176" s="63" t="s">
        <v>241</v>
      </c>
      <c r="AD176" s="64" t="s">
        <v>242</v>
      </c>
      <c r="AE176" s="50">
        <v>3992196</v>
      </c>
      <c r="AF176" s="50">
        <v>3992196</v>
      </c>
      <c r="AG176" s="65" t="s">
        <v>244</v>
      </c>
      <c r="AH176" s="65" t="s">
        <v>245</v>
      </c>
      <c r="AI176" s="66" t="s">
        <v>246</v>
      </c>
      <c r="AJ176" s="67" t="s">
        <v>247</v>
      </c>
      <c r="AK176" s="68" t="s">
        <v>372</v>
      </c>
      <c r="AL176" s="69" t="s">
        <v>248</v>
      </c>
      <c r="AM176" s="70" t="s">
        <v>249</v>
      </c>
      <c r="AN176" s="65" t="s">
        <v>244</v>
      </c>
      <c r="AO176" s="65" t="s">
        <v>244</v>
      </c>
      <c r="AP176" s="71" t="s">
        <v>250</v>
      </c>
      <c r="AQ176" s="72" t="s">
        <v>251</v>
      </c>
      <c r="AR176" s="72" t="s">
        <v>252</v>
      </c>
      <c r="AS176" s="72" t="s">
        <v>250</v>
      </c>
      <c r="AT176" s="72"/>
      <c r="AU176" s="72"/>
    </row>
    <row r="177" spans="1:47" ht="33.75" x14ac:dyDescent="0.2">
      <c r="A177" s="216">
        <v>327</v>
      </c>
      <c r="B177" s="33" t="s">
        <v>90</v>
      </c>
      <c r="C177" s="33" t="s">
        <v>78</v>
      </c>
      <c r="D177" s="33" t="s">
        <v>375</v>
      </c>
      <c r="E177" s="33"/>
      <c r="F177" s="33" t="s">
        <v>374</v>
      </c>
      <c r="G177" s="45" t="s">
        <v>69</v>
      </c>
      <c r="H177" s="45" t="s">
        <v>28</v>
      </c>
      <c r="I177" s="75">
        <v>998049</v>
      </c>
      <c r="J177" s="195">
        <v>4</v>
      </c>
      <c r="K177" s="93">
        <v>3992196</v>
      </c>
      <c r="L177" s="59">
        <v>45136</v>
      </c>
      <c r="M177" s="58">
        <v>45260</v>
      </c>
      <c r="N177" s="78">
        <v>3992196</v>
      </c>
      <c r="O177" s="99"/>
      <c r="P177" s="99"/>
      <c r="Q177" s="201">
        <v>0</v>
      </c>
      <c r="R177" s="93">
        <v>3992196</v>
      </c>
      <c r="S177" s="202" t="s">
        <v>243</v>
      </c>
      <c r="T177" s="203" t="s">
        <v>373</v>
      </c>
      <c r="U177" s="204" t="s">
        <v>361</v>
      </c>
      <c r="V177" s="83" t="s">
        <v>244</v>
      </c>
      <c r="W177" s="84" t="str">
        <f t="shared" si="4"/>
        <v>CLE-327</v>
      </c>
      <c r="X177" s="202">
        <v>80111600</v>
      </c>
      <c r="Y177" s="34" t="s">
        <v>574</v>
      </c>
      <c r="Z177" s="61" t="s">
        <v>393</v>
      </c>
      <c r="AA177" s="61" t="s">
        <v>393</v>
      </c>
      <c r="AB177" s="62">
        <v>4</v>
      </c>
      <c r="AC177" s="63" t="s">
        <v>241</v>
      </c>
      <c r="AD177" s="64" t="s">
        <v>242</v>
      </c>
      <c r="AE177" s="205">
        <v>3992196</v>
      </c>
      <c r="AF177" s="205">
        <v>3992196</v>
      </c>
      <c r="AG177" s="63" t="s">
        <v>244</v>
      </c>
      <c r="AH177" s="64" t="s">
        <v>245</v>
      </c>
      <c r="AI177" s="66" t="s">
        <v>246</v>
      </c>
      <c r="AJ177" s="67" t="s">
        <v>247</v>
      </c>
      <c r="AK177" s="68" t="s">
        <v>372</v>
      </c>
      <c r="AL177" s="69" t="s">
        <v>248</v>
      </c>
      <c r="AM177" s="70" t="s">
        <v>249</v>
      </c>
      <c r="AN177" s="65" t="s">
        <v>244</v>
      </c>
      <c r="AO177" s="65" t="s">
        <v>244</v>
      </c>
      <c r="AP177" s="71" t="s">
        <v>250</v>
      </c>
      <c r="AQ177" s="72" t="s">
        <v>251</v>
      </c>
      <c r="AR177" s="72" t="s">
        <v>252</v>
      </c>
      <c r="AS177" s="72" t="s">
        <v>250</v>
      </c>
      <c r="AT177" s="71"/>
      <c r="AU177" s="72"/>
    </row>
    <row r="178" spans="1:47" ht="33.75" x14ac:dyDescent="0.2">
      <c r="A178" s="216">
        <v>328</v>
      </c>
      <c r="B178" s="33" t="s">
        <v>90</v>
      </c>
      <c r="C178" s="33" t="s">
        <v>78</v>
      </c>
      <c r="D178" s="33" t="s">
        <v>375</v>
      </c>
      <c r="E178" s="33"/>
      <c r="F178" s="33" t="s">
        <v>374</v>
      </c>
      <c r="G178" s="45" t="s">
        <v>69</v>
      </c>
      <c r="H178" s="45" t="s">
        <v>28</v>
      </c>
      <c r="I178" s="75">
        <v>998049</v>
      </c>
      <c r="J178" s="195">
        <v>4</v>
      </c>
      <c r="K178" s="93">
        <v>3992196</v>
      </c>
      <c r="L178" s="59">
        <v>45136</v>
      </c>
      <c r="M178" s="58">
        <v>45260</v>
      </c>
      <c r="N178" s="78">
        <v>3992196</v>
      </c>
      <c r="O178" s="99"/>
      <c r="P178" s="99"/>
      <c r="Q178" s="201">
        <v>0</v>
      </c>
      <c r="R178" s="93">
        <v>3992196</v>
      </c>
      <c r="S178" s="202" t="s">
        <v>243</v>
      </c>
      <c r="T178" s="203" t="s">
        <v>373</v>
      </c>
      <c r="U178" s="204" t="s">
        <v>361</v>
      </c>
      <c r="V178" s="83" t="s">
        <v>244</v>
      </c>
      <c r="W178" s="84" t="str">
        <f t="shared" si="4"/>
        <v>CLE-328</v>
      </c>
      <c r="X178" s="202">
        <v>80111600</v>
      </c>
      <c r="Y178" s="34" t="s">
        <v>574</v>
      </c>
      <c r="Z178" s="61" t="s">
        <v>393</v>
      </c>
      <c r="AA178" s="61" t="s">
        <v>393</v>
      </c>
      <c r="AB178" s="62">
        <v>4</v>
      </c>
      <c r="AC178" s="63" t="s">
        <v>241</v>
      </c>
      <c r="AD178" s="64" t="s">
        <v>242</v>
      </c>
      <c r="AE178" s="205">
        <v>3992196</v>
      </c>
      <c r="AF178" s="205">
        <v>3992196</v>
      </c>
      <c r="AG178" s="63" t="s">
        <v>244</v>
      </c>
      <c r="AH178" s="64" t="s">
        <v>245</v>
      </c>
      <c r="AI178" s="66" t="s">
        <v>246</v>
      </c>
      <c r="AJ178" s="67" t="s">
        <v>247</v>
      </c>
      <c r="AK178" s="68" t="s">
        <v>372</v>
      </c>
      <c r="AL178" s="69" t="s">
        <v>248</v>
      </c>
      <c r="AM178" s="70" t="s">
        <v>249</v>
      </c>
      <c r="AN178" s="65" t="s">
        <v>244</v>
      </c>
      <c r="AO178" s="65" t="s">
        <v>244</v>
      </c>
      <c r="AP178" s="71" t="s">
        <v>250</v>
      </c>
      <c r="AQ178" s="72" t="s">
        <v>251</v>
      </c>
      <c r="AR178" s="72" t="s">
        <v>252</v>
      </c>
      <c r="AS178" s="72" t="s">
        <v>250</v>
      </c>
      <c r="AT178" s="71"/>
      <c r="AU178" s="72"/>
    </row>
    <row r="179" spans="1:47" ht="33.75" x14ac:dyDescent="0.2">
      <c r="A179" s="216">
        <v>329</v>
      </c>
      <c r="B179" s="33" t="s">
        <v>90</v>
      </c>
      <c r="C179" s="33" t="s">
        <v>78</v>
      </c>
      <c r="D179" s="33" t="s">
        <v>375</v>
      </c>
      <c r="E179" s="33"/>
      <c r="F179" s="33" t="s">
        <v>374</v>
      </c>
      <c r="G179" s="45" t="s">
        <v>69</v>
      </c>
      <c r="H179" s="45" t="s">
        <v>28</v>
      </c>
      <c r="I179" s="75">
        <v>998049</v>
      </c>
      <c r="J179" s="195">
        <v>4</v>
      </c>
      <c r="K179" s="93">
        <v>3992196</v>
      </c>
      <c r="L179" s="59">
        <v>45136</v>
      </c>
      <c r="M179" s="58">
        <v>45260</v>
      </c>
      <c r="N179" s="78">
        <v>3992196</v>
      </c>
      <c r="O179" s="99"/>
      <c r="P179" s="99"/>
      <c r="Q179" s="201">
        <v>0</v>
      </c>
      <c r="R179" s="93">
        <v>3992196</v>
      </c>
      <c r="S179" s="202" t="s">
        <v>243</v>
      </c>
      <c r="T179" s="203" t="s">
        <v>373</v>
      </c>
      <c r="U179" s="204" t="s">
        <v>361</v>
      </c>
      <c r="V179" s="83" t="s">
        <v>244</v>
      </c>
      <c r="W179" s="84" t="str">
        <f t="shared" si="4"/>
        <v>CLE-329</v>
      </c>
      <c r="X179" s="202">
        <v>80111600</v>
      </c>
      <c r="Y179" s="34" t="s">
        <v>574</v>
      </c>
      <c r="Z179" s="61" t="s">
        <v>393</v>
      </c>
      <c r="AA179" s="61" t="s">
        <v>393</v>
      </c>
      <c r="AB179" s="62">
        <v>4</v>
      </c>
      <c r="AC179" s="63" t="s">
        <v>241</v>
      </c>
      <c r="AD179" s="64" t="s">
        <v>242</v>
      </c>
      <c r="AE179" s="205">
        <v>3992196</v>
      </c>
      <c r="AF179" s="205">
        <v>3992196</v>
      </c>
      <c r="AG179" s="63" t="s">
        <v>244</v>
      </c>
      <c r="AH179" s="64" t="s">
        <v>245</v>
      </c>
      <c r="AI179" s="66" t="s">
        <v>246</v>
      </c>
      <c r="AJ179" s="67" t="s">
        <v>247</v>
      </c>
      <c r="AK179" s="68" t="s">
        <v>372</v>
      </c>
      <c r="AL179" s="69" t="s">
        <v>248</v>
      </c>
      <c r="AM179" s="70" t="s">
        <v>249</v>
      </c>
      <c r="AN179" s="65" t="s">
        <v>244</v>
      </c>
      <c r="AO179" s="65" t="s">
        <v>244</v>
      </c>
      <c r="AP179" s="71" t="s">
        <v>250</v>
      </c>
      <c r="AQ179" s="72" t="s">
        <v>251</v>
      </c>
      <c r="AR179" s="72" t="s">
        <v>252</v>
      </c>
      <c r="AS179" s="72" t="s">
        <v>250</v>
      </c>
      <c r="AT179" s="71"/>
      <c r="AU179" s="72"/>
    </row>
    <row r="180" spans="1:47" ht="33.75" x14ac:dyDescent="0.2">
      <c r="A180" s="216">
        <v>330</v>
      </c>
      <c r="B180" s="33" t="s">
        <v>90</v>
      </c>
      <c r="C180" s="33" t="s">
        <v>78</v>
      </c>
      <c r="D180" s="33" t="s">
        <v>375</v>
      </c>
      <c r="E180" s="33"/>
      <c r="F180" s="33" t="s">
        <v>374</v>
      </c>
      <c r="G180" s="45" t="s">
        <v>67</v>
      </c>
      <c r="H180" s="45" t="s">
        <v>28</v>
      </c>
      <c r="I180" s="75">
        <v>1186916</v>
      </c>
      <c r="J180" s="195">
        <v>4</v>
      </c>
      <c r="K180" s="93">
        <v>4747664</v>
      </c>
      <c r="L180" s="59">
        <v>45136</v>
      </c>
      <c r="M180" s="58">
        <v>45260</v>
      </c>
      <c r="N180" s="78">
        <v>4747664</v>
      </c>
      <c r="O180" s="99"/>
      <c r="P180" s="99"/>
      <c r="Q180" s="201">
        <v>0</v>
      </c>
      <c r="R180" s="93">
        <v>4747664</v>
      </c>
      <c r="S180" s="202" t="s">
        <v>243</v>
      </c>
      <c r="T180" s="203" t="s">
        <v>373</v>
      </c>
      <c r="U180" s="204" t="s">
        <v>361</v>
      </c>
      <c r="V180" s="83" t="s">
        <v>244</v>
      </c>
      <c r="W180" s="84" t="str">
        <f t="shared" si="4"/>
        <v>CLE-330</v>
      </c>
      <c r="X180" s="202">
        <v>80111600</v>
      </c>
      <c r="Y180" s="34" t="s">
        <v>574</v>
      </c>
      <c r="Z180" s="61" t="s">
        <v>393</v>
      </c>
      <c r="AA180" s="61" t="s">
        <v>393</v>
      </c>
      <c r="AB180" s="62">
        <v>4</v>
      </c>
      <c r="AC180" s="63" t="s">
        <v>241</v>
      </c>
      <c r="AD180" s="64" t="s">
        <v>242</v>
      </c>
      <c r="AE180" s="205">
        <v>4747664</v>
      </c>
      <c r="AF180" s="205">
        <v>4747664</v>
      </c>
      <c r="AG180" s="63" t="s">
        <v>244</v>
      </c>
      <c r="AH180" s="64" t="s">
        <v>245</v>
      </c>
      <c r="AI180" s="66" t="s">
        <v>246</v>
      </c>
      <c r="AJ180" s="67" t="s">
        <v>247</v>
      </c>
      <c r="AK180" s="68" t="s">
        <v>372</v>
      </c>
      <c r="AL180" s="69" t="s">
        <v>248</v>
      </c>
      <c r="AM180" s="70" t="s">
        <v>249</v>
      </c>
      <c r="AN180" s="65" t="s">
        <v>244</v>
      </c>
      <c r="AO180" s="65" t="s">
        <v>244</v>
      </c>
      <c r="AP180" s="71" t="s">
        <v>250</v>
      </c>
      <c r="AQ180" s="72" t="s">
        <v>251</v>
      </c>
      <c r="AR180" s="72" t="s">
        <v>252</v>
      </c>
      <c r="AS180" s="72" t="s">
        <v>250</v>
      </c>
      <c r="AT180" s="71"/>
      <c r="AU180" s="72"/>
    </row>
    <row r="181" spans="1:47" ht="33.75" x14ac:dyDescent="0.2">
      <c r="A181" s="216">
        <v>331</v>
      </c>
      <c r="B181" s="33" t="s">
        <v>90</v>
      </c>
      <c r="C181" s="33" t="s">
        <v>78</v>
      </c>
      <c r="D181" s="33" t="s">
        <v>375</v>
      </c>
      <c r="E181" s="33"/>
      <c r="F181" s="45" t="s">
        <v>374</v>
      </c>
      <c r="G181" s="45" t="s">
        <v>67</v>
      </c>
      <c r="H181" s="45" t="s">
        <v>28</v>
      </c>
      <c r="I181" s="95">
        <v>1186916</v>
      </c>
      <c r="J181" s="195">
        <v>4</v>
      </c>
      <c r="K181" s="100">
        <v>4747664</v>
      </c>
      <c r="L181" s="59">
        <v>45136</v>
      </c>
      <c r="M181" s="58">
        <v>45260</v>
      </c>
      <c r="N181" s="80">
        <v>4747664</v>
      </c>
      <c r="O181" s="86"/>
      <c r="P181" s="86"/>
      <c r="Q181" s="78">
        <v>0</v>
      </c>
      <c r="R181" s="93">
        <v>4747664</v>
      </c>
      <c r="S181" s="87" t="s">
        <v>243</v>
      </c>
      <c r="T181" s="82" t="s">
        <v>373</v>
      </c>
      <c r="U181" s="88" t="s">
        <v>361</v>
      </c>
      <c r="V181" s="83" t="s">
        <v>244</v>
      </c>
      <c r="W181" s="84" t="str">
        <f t="shared" si="4"/>
        <v>CLE-331</v>
      </c>
      <c r="X181" s="87">
        <v>80111600</v>
      </c>
      <c r="Y181" s="34" t="s">
        <v>574</v>
      </c>
      <c r="Z181" s="61" t="s">
        <v>393</v>
      </c>
      <c r="AA181" s="61" t="s">
        <v>393</v>
      </c>
      <c r="AB181" s="62">
        <v>4</v>
      </c>
      <c r="AC181" s="63" t="s">
        <v>241</v>
      </c>
      <c r="AD181" s="64" t="s">
        <v>242</v>
      </c>
      <c r="AE181" s="50">
        <v>4747664</v>
      </c>
      <c r="AF181" s="50">
        <v>4747664</v>
      </c>
      <c r="AG181" s="65" t="s">
        <v>244</v>
      </c>
      <c r="AH181" s="65" t="s">
        <v>245</v>
      </c>
      <c r="AI181" s="66" t="s">
        <v>246</v>
      </c>
      <c r="AJ181" s="67" t="s">
        <v>247</v>
      </c>
      <c r="AK181" s="68" t="s">
        <v>372</v>
      </c>
      <c r="AL181" s="69" t="s">
        <v>248</v>
      </c>
      <c r="AM181" s="70" t="s">
        <v>249</v>
      </c>
      <c r="AN181" s="65" t="s">
        <v>244</v>
      </c>
      <c r="AO181" s="65" t="s">
        <v>244</v>
      </c>
      <c r="AP181" s="71" t="s">
        <v>250</v>
      </c>
      <c r="AQ181" s="72" t="s">
        <v>251</v>
      </c>
      <c r="AR181" s="72" t="s">
        <v>252</v>
      </c>
      <c r="AS181" s="72" t="s">
        <v>250</v>
      </c>
      <c r="AT181" s="72"/>
      <c r="AU181" s="72"/>
    </row>
    <row r="182" spans="1:47" ht="33.75" x14ac:dyDescent="0.2">
      <c r="A182" s="216">
        <v>332</v>
      </c>
      <c r="B182" s="33" t="s">
        <v>90</v>
      </c>
      <c r="C182" s="33" t="s">
        <v>78</v>
      </c>
      <c r="D182" s="33" t="s">
        <v>375</v>
      </c>
      <c r="E182" s="33"/>
      <c r="F182" s="45" t="s">
        <v>374</v>
      </c>
      <c r="G182" s="45" t="s">
        <v>67</v>
      </c>
      <c r="H182" s="45" t="s">
        <v>28</v>
      </c>
      <c r="I182" s="95">
        <v>1186916</v>
      </c>
      <c r="J182" s="195">
        <v>4</v>
      </c>
      <c r="K182" s="100">
        <v>4747664</v>
      </c>
      <c r="L182" s="59">
        <v>45136</v>
      </c>
      <c r="M182" s="58">
        <v>45260</v>
      </c>
      <c r="N182" s="80">
        <v>4747664</v>
      </c>
      <c r="O182" s="86"/>
      <c r="P182" s="86"/>
      <c r="Q182" s="78">
        <v>0</v>
      </c>
      <c r="R182" s="93">
        <v>4747664</v>
      </c>
      <c r="S182" s="87" t="s">
        <v>243</v>
      </c>
      <c r="T182" s="82" t="s">
        <v>373</v>
      </c>
      <c r="U182" s="88" t="s">
        <v>361</v>
      </c>
      <c r="V182" s="83" t="s">
        <v>244</v>
      </c>
      <c r="W182" s="84" t="str">
        <f t="shared" si="4"/>
        <v>CLE-332</v>
      </c>
      <c r="X182" s="87">
        <v>80111600</v>
      </c>
      <c r="Y182" s="34" t="s">
        <v>574</v>
      </c>
      <c r="Z182" s="61" t="s">
        <v>393</v>
      </c>
      <c r="AA182" s="61" t="s">
        <v>393</v>
      </c>
      <c r="AB182" s="62">
        <v>4</v>
      </c>
      <c r="AC182" s="63" t="s">
        <v>241</v>
      </c>
      <c r="AD182" s="64" t="s">
        <v>242</v>
      </c>
      <c r="AE182" s="50">
        <v>4747664</v>
      </c>
      <c r="AF182" s="50">
        <v>4747664</v>
      </c>
      <c r="AG182" s="65" t="s">
        <v>244</v>
      </c>
      <c r="AH182" s="65" t="s">
        <v>245</v>
      </c>
      <c r="AI182" s="66" t="s">
        <v>246</v>
      </c>
      <c r="AJ182" s="67" t="s">
        <v>247</v>
      </c>
      <c r="AK182" s="68" t="s">
        <v>372</v>
      </c>
      <c r="AL182" s="69" t="s">
        <v>248</v>
      </c>
      <c r="AM182" s="70" t="s">
        <v>249</v>
      </c>
      <c r="AN182" s="65" t="s">
        <v>244</v>
      </c>
      <c r="AO182" s="65" t="s">
        <v>244</v>
      </c>
      <c r="AP182" s="71" t="s">
        <v>250</v>
      </c>
      <c r="AQ182" s="72" t="s">
        <v>251</v>
      </c>
      <c r="AR182" s="72" t="s">
        <v>252</v>
      </c>
      <c r="AS182" s="72" t="s">
        <v>250</v>
      </c>
      <c r="AT182" s="72"/>
      <c r="AU182" s="72"/>
    </row>
    <row r="183" spans="1:47" ht="33.75" x14ac:dyDescent="0.2">
      <c r="A183" s="44">
        <v>334</v>
      </c>
      <c r="B183" s="33" t="s">
        <v>90</v>
      </c>
      <c r="C183" s="33" t="s">
        <v>78</v>
      </c>
      <c r="D183" s="33" t="s">
        <v>375</v>
      </c>
      <c r="E183" s="33"/>
      <c r="F183" s="45" t="s">
        <v>374</v>
      </c>
      <c r="G183" s="45" t="s">
        <v>69</v>
      </c>
      <c r="H183" s="45" t="s">
        <v>28</v>
      </c>
      <c r="I183" s="75">
        <v>1662304</v>
      </c>
      <c r="J183" s="195">
        <v>4</v>
      </c>
      <c r="K183" s="93">
        <v>6649216</v>
      </c>
      <c r="L183" s="59">
        <v>45136</v>
      </c>
      <c r="M183" s="58">
        <v>45260</v>
      </c>
      <c r="N183" s="78">
        <v>6649216</v>
      </c>
      <c r="O183" s="86"/>
      <c r="P183" s="86"/>
      <c r="Q183" s="78">
        <v>0</v>
      </c>
      <c r="R183" s="93">
        <v>6649216</v>
      </c>
      <c r="S183" s="87" t="s">
        <v>243</v>
      </c>
      <c r="T183" s="82" t="s">
        <v>373</v>
      </c>
      <c r="U183" s="88" t="s">
        <v>361</v>
      </c>
      <c r="V183" s="88" t="s">
        <v>244</v>
      </c>
      <c r="W183" s="84" t="str">
        <f t="shared" si="4"/>
        <v>CLE-334</v>
      </c>
      <c r="X183" s="87">
        <v>80111600</v>
      </c>
      <c r="Y183" s="34" t="s">
        <v>574</v>
      </c>
      <c r="Z183" s="61" t="s">
        <v>393</v>
      </c>
      <c r="AA183" s="61" t="s">
        <v>393</v>
      </c>
      <c r="AB183" s="62">
        <v>4</v>
      </c>
      <c r="AC183" s="63" t="s">
        <v>241</v>
      </c>
      <c r="AD183" s="64" t="s">
        <v>242</v>
      </c>
      <c r="AE183" s="50">
        <v>6649216</v>
      </c>
      <c r="AF183" s="50">
        <v>6649216</v>
      </c>
      <c r="AG183" s="65" t="s">
        <v>244</v>
      </c>
      <c r="AH183" s="65" t="s">
        <v>245</v>
      </c>
      <c r="AI183" s="66" t="s">
        <v>246</v>
      </c>
      <c r="AJ183" s="67" t="s">
        <v>247</v>
      </c>
      <c r="AK183" s="68" t="s">
        <v>372</v>
      </c>
      <c r="AL183" s="69" t="s">
        <v>248</v>
      </c>
      <c r="AM183" s="70" t="s">
        <v>249</v>
      </c>
      <c r="AN183" s="65" t="s">
        <v>244</v>
      </c>
      <c r="AO183" s="65" t="s">
        <v>244</v>
      </c>
      <c r="AP183" s="71" t="s">
        <v>250</v>
      </c>
      <c r="AQ183" s="72" t="s">
        <v>251</v>
      </c>
      <c r="AR183" s="72" t="s">
        <v>252</v>
      </c>
      <c r="AS183" s="72" t="s">
        <v>250</v>
      </c>
      <c r="AT183" s="72"/>
      <c r="AU183" s="72"/>
    </row>
    <row r="184" spans="1:47" ht="33.75" x14ac:dyDescent="0.2">
      <c r="A184" s="44">
        <v>335</v>
      </c>
      <c r="B184" s="33" t="s">
        <v>90</v>
      </c>
      <c r="C184" s="33" t="s">
        <v>78</v>
      </c>
      <c r="D184" s="33" t="s">
        <v>375</v>
      </c>
      <c r="E184" s="33"/>
      <c r="F184" s="45" t="s">
        <v>374</v>
      </c>
      <c r="G184" s="45" t="s">
        <v>69</v>
      </c>
      <c r="H184" s="45" t="s">
        <v>28</v>
      </c>
      <c r="I184" s="75">
        <v>1330177</v>
      </c>
      <c r="J184" s="195">
        <v>4</v>
      </c>
      <c r="K184" s="93">
        <v>5320708</v>
      </c>
      <c r="L184" s="59">
        <v>45136</v>
      </c>
      <c r="M184" s="58">
        <v>45260</v>
      </c>
      <c r="N184" s="80">
        <v>5320708</v>
      </c>
      <c r="O184" s="86"/>
      <c r="P184" s="86"/>
      <c r="Q184" s="78">
        <v>0</v>
      </c>
      <c r="R184" s="93">
        <v>5320708</v>
      </c>
      <c r="S184" s="87" t="s">
        <v>243</v>
      </c>
      <c r="T184" s="82" t="s">
        <v>373</v>
      </c>
      <c r="U184" s="88" t="s">
        <v>361</v>
      </c>
      <c r="V184" s="83" t="s">
        <v>244</v>
      </c>
      <c r="W184" s="84" t="str">
        <f t="shared" si="4"/>
        <v>CLE-335</v>
      </c>
      <c r="X184" s="87">
        <v>80111600</v>
      </c>
      <c r="Y184" s="34" t="s">
        <v>574</v>
      </c>
      <c r="Z184" s="61" t="s">
        <v>393</v>
      </c>
      <c r="AA184" s="61" t="s">
        <v>393</v>
      </c>
      <c r="AB184" s="62">
        <v>4</v>
      </c>
      <c r="AC184" s="63" t="s">
        <v>241</v>
      </c>
      <c r="AD184" s="64" t="s">
        <v>242</v>
      </c>
      <c r="AE184" s="50">
        <v>5320708</v>
      </c>
      <c r="AF184" s="50">
        <v>5320708</v>
      </c>
      <c r="AG184" s="65" t="s">
        <v>244</v>
      </c>
      <c r="AH184" s="65" t="s">
        <v>245</v>
      </c>
      <c r="AI184" s="66" t="s">
        <v>246</v>
      </c>
      <c r="AJ184" s="67" t="s">
        <v>247</v>
      </c>
      <c r="AK184" s="68" t="s">
        <v>372</v>
      </c>
      <c r="AL184" s="69" t="s">
        <v>248</v>
      </c>
      <c r="AM184" s="70" t="s">
        <v>249</v>
      </c>
      <c r="AN184" s="65" t="s">
        <v>244</v>
      </c>
      <c r="AO184" s="65" t="s">
        <v>244</v>
      </c>
      <c r="AP184" s="71" t="s">
        <v>250</v>
      </c>
      <c r="AQ184" s="72" t="s">
        <v>251</v>
      </c>
      <c r="AR184" s="72" t="s">
        <v>252</v>
      </c>
      <c r="AS184" s="72" t="s">
        <v>250</v>
      </c>
      <c r="AT184" s="72"/>
      <c r="AU184" s="72"/>
    </row>
    <row r="185" spans="1:47" ht="33.75" x14ac:dyDescent="0.2">
      <c r="A185" s="44">
        <v>336</v>
      </c>
      <c r="B185" s="33" t="s">
        <v>90</v>
      </c>
      <c r="C185" s="33" t="s">
        <v>78</v>
      </c>
      <c r="D185" s="33" t="s">
        <v>375</v>
      </c>
      <c r="E185" s="33"/>
      <c r="F185" s="45" t="s">
        <v>374</v>
      </c>
      <c r="G185" s="45" t="s">
        <v>67</v>
      </c>
      <c r="H185" s="45" t="s">
        <v>28</v>
      </c>
      <c r="I185" s="75">
        <v>5182141</v>
      </c>
      <c r="J185" s="195">
        <v>4</v>
      </c>
      <c r="K185" s="94">
        <v>20728564</v>
      </c>
      <c r="L185" s="59">
        <v>45136</v>
      </c>
      <c r="M185" s="58">
        <v>45260</v>
      </c>
      <c r="N185" s="80">
        <v>20728564</v>
      </c>
      <c r="O185" s="86"/>
      <c r="P185" s="86"/>
      <c r="Q185" s="78">
        <v>0</v>
      </c>
      <c r="R185" s="93">
        <v>20728564</v>
      </c>
      <c r="S185" s="87" t="s">
        <v>243</v>
      </c>
      <c r="T185" s="82" t="s">
        <v>373</v>
      </c>
      <c r="U185" s="88" t="s">
        <v>361</v>
      </c>
      <c r="V185" s="83" t="s">
        <v>244</v>
      </c>
      <c r="W185" s="84" t="str">
        <f t="shared" si="4"/>
        <v>CLE-336</v>
      </c>
      <c r="X185" s="87">
        <v>80111600</v>
      </c>
      <c r="Y185" s="34" t="s">
        <v>574</v>
      </c>
      <c r="Z185" s="61" t="s">
        <v>393</v>
      </c>
      <c r="AA185" s="61" t="s">
        <v>393</v>
      </c>
      <c r="AB185" s="62">
        <v>4</v>
      </c>
      <c r="AC185" s="63" t="s">
        <v>241</v>
      </c>
      <c r="AD185" s="64" t="s">
        <v>242</v>
      </c>
      <c r="AE185" s="50">
        <v>20728564</v>
      </c>
      <c r="AF185" s="50">
        <v>20728564</v>
      </c>
      <c r="AG185" s="65" t="s">
        <v>244</v>
      </c>
      <c r="AH185" s="65" t="s">
        <v>245</v>
      </c>
      <c r="AI185" s="66" t="s">
        <v>246</v>
      </c>
      <c r="AJ185" s="67" t="s">
        <v>247</v>
      </c>
      <c r="AK185" s="68" t="s">
        <v>372</v>
      </c>
      <c r="AL185" s="69" t="s">
        <v>248</v>
      </c>
      <c r="AM185" s="70" t="s">
        <v>249</v>
      </c>
      <c r="AN185" s="65" t="s">
        <v>244</v>
      </c>
      <c r="AO185" s="65" t="s">
        <v>244</v>
      </c>
      <c r="AP185" s="71" t="s">
        <v>250</v>
      </c>
      <c r="AQ185" s="72" t="s">
        <v>251</v>
      </c>
      <c r="AR185" s="72" t="s">
        <v>252</v>
      </c>
      <c r="AS185" s="72" t="s">
        <v>250</v>
      </c>
      <c r="AT185" s="72"/>
      <c r="AU185" s="72"/>
    </row>
    <row r="186" spans="1:47" ht="33.75" x14ac:dyDescent="0.2">
      <c r="A186" s="44">
        <v>337</v>
      </c>
      <c r="B186" s="33" t="s">
        <v>90</v>
      </c>
      <c r="C186" s="33" t="s">
        <v>78</v>
      </c>
      <c r="D186" s="33" t="s">
        <v>375</v>
      </c>
      <c r="E186" s="33"/>
      <c r="F186" s="45" t="s">
        <v>374</v>
      </c>
      <c r="G186" s="45" t="s">
        <v>69</v>
      </c>
      <c r="H186" s="45" t="s">
        <v>28</v>
      </c>
      <c r="I186" s="75">
        <v>3002729</v>
      </c>
      <c r="J186" s="195">
        <v>4</v>
      </c>
      <c r="K186" s="93">
        <v>12010916</v>
      </c>
      <c r="L186" s="59">
        <v>45136</v>
      </c>
      <c r="M186" s="58">
        <v>45260</v>
      </c>
      <c r="N186" s="78">
        <v>12010916</v>
      </c>
      <c r="O186" s="86"/>
      <c r="P186" s="86"/>
      <c r="Q186" s="78">
        <v>0</v>
      </c>
      <c r="R186" s="93">
        <v>12010916</v>
      </c>
      <c r="S186" s="87" t="s">
        <v>243</v>
      </c>
      <c r="T186" s="82" t="s">
        <v>373</v>
      </c>
      <c r="U186" s="88" t="s">
        <v>361</v>
      </c>
      <c r="V186" s="88" t="s">
        <v>244</v>
      </c>
      <c r="W186" s="84" t="str">
        <f t="shared" si="4"/>
        <v>CLE-337</v>
      </c>
      <c r="X186" s="87">
        <v>80111600</v>
      </c>
      <c r="Y186" s="34" t="s">
        <v>574</v>
      </c>
      <c r="Z186" s="61" t="s">
        <v>393</v>
      </c>
      <c r="AA186" s="61" t="s">
        <v>393</v>
      </c>
      <c r="AB186" s="62">
        <v>4</v>
      </c>
      <c r="AC186" s="63" t="s">
        <v>241</v>
      </c>
      <c r="AD186" s="64" t="s">
        <v>242</v>
      </c>
      <c r="AE186" s="50">
        <v>12010916</v>
      </c>
      <c r="AF186" s="50">
        <v>12010916</v>
      </c>
      <c r="AG186" s="65" t="s">
        <v>244</v>
      </c>
      <c r="AH186" s="65" t="s">
        <v>245</v>
      </c>
      <c r="AI186" s="66" t="s">
        <v>246</v>
      </c>
      <c r="AJ186" s="67" t="s">
        <v>247</v>
      </c>
      <c r="AK186" s="68" t="s">
        <v>372</v>
      </c>
      <c r="AL186" s="69" t="s">
        <v>248</v>
      </c>
      <c r="AM186" s="70" t="s">
        <v>249</v>
      </c>
      <c r="AN186" s="65" t="s">
        <v>244</v>
      </c>
      <c r="AO186" s="65" t="s">
        <v>244</v>
      </c>
      <c r="AP186" s="71" t="s">
        <v>250</v>
      </c>
      <c r="AQ186" s="72" t="s">
        <v>251</v>
      </c>
      <c r="AR186" s="72" t="s">
        <v>252</v>
      </c>
      <c r="AS186" s="72" t="s">
        <v>250</v>
      </c>
      <c r="AT186" s="72"/>
      <c r="AU186" s="72"/>
    </row>
    <row r="187" spans="1:47" ht="33.75" x14ac:dyDescent="0.2">
      <c r="A187" s="44">
        <v>338</v>
      </c>
      <c r="B187" s="33" t="s">
        <v>90</v>
      </c>
      <c r="C187" s="33" t="s">
        <v>78</v>
      </c>
      <c r="D187" s="33" t="s">
        <v>375</v>
      </c>
      <c r="E187" s="33"/>
      <c r="F187" s="45" t="s">
        <v>374</v>
      </c>
      <c r="G187" s="45" t="s">
        <v>67</v>
      </c>
      <c r="H187" s="45" t="s">
        <v>28</v>
      </c>
      <c r="I187" s="75">
        <v>2040038</v>
      </c>
      <c r="J187" s="195">
        <v>4</v>
      </c>
      <c r="K187" s="93">
        <v>8160152</v>
      </c>
      <c r="L187" s="59">
        <v>45136</v>
      </c>
      <c r="M187" s="58">
        <v>45260</v>
      </c>
      <c r="N187" s="78">
        <v>8160152</v>
      </c>
      <c r="O187" s="86"/>
      <c r="P187" s="86"/>
      <c r="Q187" s="78">
        <v>0</v>
      </c>
      <c r="R187" s="93">
        <v>8160152</v>
      </c>
      <c r="S187" s="87" t="s">
        <v>243</v>
      </c>
      <c r="T187" s="82" t="s">
        <v>373</v>
      </c>
      <c r="U187" s="88" t="s">
        <v>361</v>
      </c>
      <c r="V187" s="88" t="s">
        <v>244</v>
      </c>
      <c r="W187" s="84" t="str">
        <f t="shared" si="4"/>
        <v>CLE-338</v>
      </c>
      <c r="X187" s="87">
        <v>80111600</v>
      </c>
      <c r="Y187" s="34" t="s">
        <v>574</v>
      </c>
      <c r="Z187" s="61" t="s">
        <v>393</v>
      </c>
      <c r="AA187" s="61" t="s">
        <v>393</v>
      </c>
      <c r="AB187" s="62">
        <v>4</v>
      </c>
      <c r="AC187" s="63" t="s">
        <v>241</v>
      </c>
      <c r="AD187" s="64" t="s">
        <v>242</v>
      </c>
      <c r="AE187" s="50">
        <v>8160152</v>
      </c>
      <c r="AF187" s="50">
        <v>8160152</v>
      </c>
      <c r="AG187" s="65" t="s">
        <v>244</v>
      </c>
      <c r="AH187" s="65" t="s">
        <v>245</v>
      </c>
      <c r="AI187" s="66" t="s">
        <v>246</v>
      </c>
      <c r="AJ187" s="67" t="s">
        <v>247</v>
      </c>
      <c r="AK187" s="68" t="s">
        <v>372</v>
      </c>
      <c r="AL187" s="69" t="s">
        <v>248</v>
      </c>
      <c r="AM187" s="70" t="s">
        <v>249</v>
      </c>
      <c r="AN187" s="65" t="s">
        <v>244</v>
      </c>
      <c r="AO187" s="65" t="s">
        <v>244</v>
      </c>
      <c r="AP187" s="71" t="s">
        <v>250</v>
      </c>
      <c r="AQ187" s="72" t="s">
        <v>251</v>
      </c>
      <c r="AR187" s="72" t="s">
        <v>252</v>
      </c>
      <c r="AS187" s="72" t="s">
        <v>250</v>
      </c>
      <c r="AT187" s="72"/>
      <c r="AU187" s="72"/>
    </row>
    <row r="188" spans="1:47" ht="33.75" x14ac:dyDescent="0.2">
      <c r="A188" s="44">
        <v>339</v>
      </c>
      <c r="B188" s="33" t="s">
        <v>90</v>
      </c>
      <c r="C188" s="33" t="s">
        <v>78</v>
      </c>
      <c r="D188" s="33" t="s">
        <v>375</v>
      </c>
      <c r="E188" s="33"/>
      <c r="F188" s="45" t="s">
        <v>374</v>
      </c>
      <c r="G188" s="45" t="s">
        <v>69</v>
      </c>
      <c r="H188" s="45" t="s">
        <v>28</v>
      </c>
      <c r="I188" s="75">
        <v>998049</v>
      </c>
      <c r="J188" s="195">
        <v>4</v>
      </c>
      <c r="K188" s="93">
        <v>3992196</v>
      </c>
      <c r="L188" s="59">
        <v>45136</v>
      </c>
      <c r="M188" s="58">
        <v>45260</v>
      </c>
      <c r="N188" s="80">
        <v>3992196</v>
      </c>
      <c r="O188" s="86"/>
      <c r="P188" s="86"/>
      <c r="Q188" s="78">
        <v>0</v>
      </c>
      <c r="R188" s="93">
        <v>3992196</v>
      </c>
      <c r="S188" s="87" t="s">
        <v>243</v>
      </c>
      <c r="T188" s="82" t="s">
        <v>373</v>
      </c>
      <c r="U188" s="88" t="s">
        <v>361</v>
      </c>
      <c r="V188" s="83" t="s">
        <v>244</v>
      </c>
      <c r="W188" s="84" t="str">
        <f t="shared" si="4"/>
        <v>CLE-339</v>
      </c>
      <c r="X188" s="87">
        <v>80111600</v>
      </c>
      <c r="Y188" s="34" t="s">
        <v>574</v>
      </c>
      <c r="Z188" s="61" t="s">
        <v>393</v>
      </c>
      <c r="AA188" s="61" t="s">
        <v>393</v>
      </c>
      <c r="AB188" s="62">
        <v>4</v>
      </c>
      <c r="AC188" s="63" t="s">
        <v>241</v>
      </c>
      <c r="AD188" s="64" t="s">
        <v>242</v>
      </c>
      <c r="AE188" s="50">
        <v>3992196</v>
      </c>
      <c r="AF188" s="50">
        <v>3992196</v>
      </c>
      <c r="AG188" s="65" t="s">
        <v>244</v>
      </c>
      <c r="AH188" s="65" t="s">
        <v>245</v>
      </c>
      <c r="AI188" s="66" t="s">
        <v>246</v>
      </c>
      <c r="AJ188" s="67" t="s">
        <v>247</v>
      </c>
      <c r="AK188" s="68" t="s">
        <v>372</v>
      </c>
      <c r="AL188" s="69" t="s">
        <v>248</v>
      </c>
      <c r="AM188" s="70" t="s">
        <v>249</v>
      </c>
      <c r="AN188" s="65" t="s">
        <v>244</v>
      </c>
      <c r="AO188" s="65" t="s">
        <v>244</v>
      </c>
      <c r="AP188" s="71" t="s">
        <v>250</v>
      </c>
      <c r="AQ188" s="72" t="s">
        <v>251</v>
      </c>
      <c r="AR188" s="72" t="s">
        <v>252</v>
      </c>
      <c r="AS188" s="72" t="s">
        <v>250</v>
      </c>
      <c r="AT188" s="72"/>
      <c r="AU188" s="72"/>
    </row>
    <row r="189" spans="1:47" ht="33.75" x14ac:dyDescent="0.2">
      <c r="A189" s="44">
        <v>340</v>
      </c>
      <c r="B189" s="33" t="s">
        <v>90</v>
      </c>
      <c r="C189" s="33" t="s">
        <v>78</v>
      </c>
      <c r="D189" s="33" t="s">
        <v>375</v>
      </c>
      <c r="E189" s="33"/>
      <c r="F189" s="45" t="s">
        <v>374</v>
      </c>
      <c r="G189" s="45" t="s">
        <v>69</v>
      </c>
      <c r="H189" s="45" t="s">
        <v>28</v>
      </c>
      <c r="I189" s="95">
        <v>998049</v>
      </c>
      <c r="J189" s="195">
        <v>4</v>
      </c>
      <c r="K189" s="100">
        <v>3992196</v>
      </c>
      <c r="L189" s="59">
        <v>45136</v>
      </c>
      <c r="M189" s="58">
        <v>45260</v>
      </c>
      <c r="N189" s="80">
        <v>3992196</v>
      </c>
      <c r="O189" s="86"/>
      <c r="P189" s="86"/>
      <c r="Q189" s="78">
        <v>0</v>
      </c>
      <c r="R189" s="93">
        <v>3992196</v>
      </c>
      <c r="S189" s="87" t="s">
        <v>243</v>
      </c>
      <c r="T189" s="82" t="s">
        <v>373</v>
      </c>
      <c r="U189" s="88" t="s">
        <v>361</v>
      </c>
      <c r="V189" s="83" t="s">
        <v>244</v>
      </c>
      <c r="W189" s="84" t="str">
        <f t="shared" si="4"/>
        <v>CLE-340</v>
      </c>
      <c r="X189" s="87">
        <v>80111600</v>
      </c>
      <c r="Y189" s="34" t="s">
        <v>574</v>
      </c>
      <c r="Z189" s="61" t="s">
        <v>393</v>
      </c>
      <c r="AA189" s="61" t="s">
        <v>393</v>
      </c>
      <c r="AB189" s="62">
        <v>4</v>
      </c>
      <c r="AC189" s="63" t="s">
        <v>241</v>
      </c>
      <c r="AD189" s="64" t="s">
        <v>242</v>
      </c>
      <c r="AE189" s="50">
        <v>3992196</v>
      </c>
      <c r="AF189" s="50">
        <v>3992196</v>
      </c>
      <c r="AG189" s="65" t="s">
        <v>244</v>
      </c>
      <c r="AH189" s="65" t="s">
        <v>245</v>
      </c>
      <c r="AI189" s="66" t="s">
        <v>246</v>
      </c>
      <c r="AJ189" s="67" t="s">
        <v>247</v>
      </c>
      <c r="AK189" s="68" t="s">
        <v>372</v>
      </c>
      <c r="AL189" s="69" t="s">
        <v>248</v>
      </c>
      <c r="AM189" s="70" t="s">
        <v>249</v>
      </c>
      <c r="AN189" s="65" t="s">
        <v>244</v>
      </c>
      <c r="AO189" s="65" t="s">
        <v>244</v>
      </c>
      <c r="AP189" s="71" t="s">
        <v>250</v>
      </c>
      <c r="AQ189" s="72" t="s">
        <v>251</v>
      </c>
      <c r="AR189" s="72" t="s">
        <v>252</v>
      </c>
      <c r="AS189" s="72" t="s">
        <v>250</v>
      </c>
      <c r="AT189" s="72"/>
      <c r="AU189" s="72"/>
    </row>
    <row r="190" spans="1:47" ht="33.75" x14ac:dyDescent="0.2">
      <c r="A190" s="44">
        <v>341</v>
      </c>
      <c r="B190" s="33" t="s">
        <v>90</v>
      </c>
      <c r="C190" s="33" t="s">
        <v>78</v>
      </c>
      <c r="D190" s="33" t="s">
        <v>375</v>
      </c>
      <c r="E190" s="33"/>
      <c r="F190" s="45" t="s">
        <v>374</v>
      </c>
      <c r="G190" s="45" t="s">
        <v>69</v>
      </c>
      <c r="H190" s="45" t="s">
        <v>28</v>
      </c>
      <c r="I190" s="95">
        <v>998049</v>
      </c>
      <c r="J190" s="195">
        <v>4</v>
      </c>
      <c r="K190" s="100">
        <v>3992196</v>
      </c>
      <c r="L190" s="59">
        <v>45136</v>
      </c>
      <c r="M190" s="58">
        <v>45260</v>
      </c>
      <c r="N190" s="80">
        <v>3992196</v>
      </c>
      <c r="O190" s="86"/>
      <c r="P190" s="86"/>
      <c r="Q190" s="78">
        <v>0</v>
      </c>
      <c r="R190" s="93">
        <v>3992196</v>
      </c>
      <c r="S190" s="87" t="s">
        <v>243</v>
      </c>
      <c r="T190" s="82" t="s">
        <v>373</v>
      </c>
      <c r="U190" s="88" t="s">
        <v>361</v>
      </c>
      <c r="V190" s="83" t="s">
        <v>244</v>
      </c>
      <c r="W190" s="84" t="str">
        <f t="shared" si="4"/>
        <v>CLE-341</v>
      </c>
      <c r="X190" s="87">
        <v>80111600</v>
      </c>
      <c r="Y190" s="34" t="s">
        <v>574</v>
      </c>
      <c r="Z190" s="61" t="s">
        <v>393</v>
      </c>
      <c r="AA190" s="61" t="s">
        <v>393</v>
      </c>
      <c r="AB190" s="62">
        <v>4</v>
      </c>
      <c r="AC190" s="63" t="s">
        <v>241</v>
      </c>
      <c r="AD190" s="64" t="s">
        <v>242</v>
      </c>
      <c r="AE190" s="50">
        <v>3992196</v>
      </c>
      <c r="AF190" s="50">
        <v>3992196</v>
      </c>
      <c r="AG190" s="65" t="s">
        <v>244</v>
      </c>
      <c r="AH190" s="65" t="s">
        <v>245</v>
      </c>
      <c r="AI190" s="66" t="s">
        <v>246</v>
      </c>
      <c r="AJ190" s="67" t="s">
        <v>247</v>
      </c>
      <c r="AK190" s="68" t="s">
        <v>372</v>
      </c>
      <c r="AL190" s="69" t="s">
        <v>248</v>
      </c>
      <c r="AM190" s="70" t="s">
        <v>249</v>
      </c>
      <c r="AN190" s="65" t="s">
        <v>244</v>
      </c>
      <c r="AO190" s="65" t="s">
        <v>244</v>
      </c>
      <c r="AP190" s="71" t="s">
        <v>250</v>
      </c>
      <c r="AQ190" s="72" t="s">
        <v>251</v>
      </c>
      <c r="AR190" s="72" t="s">
        <v>252</v>
      </c>
      <c r="AS190" s="72" t="s">
        <v>250</v>
      </c>
      <c r="AT190" s="72"/>
      <c r="AU190" s="72"/>
    </row>
    <row r="191" spans="1:47" ht="33.75" x14ac:dyDescent="0.2">
      <c r="A191" s="44">
        <v>342</v>
      </c>
      <c r="B191" s="33" t="s">
        <v>90</v>
      </c>
      <c r="C191" s="33" t="s">
        <v>78</v>
      </c>
      <c r="D191" s="33" t="s">
        <v>375</v>
      </c>
      <c r="E191" s="33"/>
      <c r="F191" s="33" t="s">
        <v>374</v>
      </c>
      <c r="G191" s="45" t="s">
        <v>69</v>
      </c>
      <c r="H191" s="45" t="s">
        <v>28</v>
      </c>
      <c r="I191" s="95">
        <v>998049</v>
      </c>
      <c r="J191" s="195">
        <v>4</v>
      </c>
      <c r="K191" s="100">
        <v>3992196</v>
      </c>
      <c r="L191" s="59">
        <v>45136</v>
      </c>
      <c r="M191" s="58">
        <v>45260</v>
      </c>
      <c r="N191" s="80">
        <v>3992196</v>
      </c>
      <c r="O191" s="99"/>
      <c r="P191" s="99"/>
      <c r="Q191" s="201">
        <v>0</v>
      </c>
      <c r="R191" s="93">
        <v>3992196</v>
      </c>
      <c r="S191" s="202" t="s">
        <v>243</v>
      </c>
      <c r="T191" s="203" t="s">
        <v>373</v>
      </c>
      <c r="U191" s="204" t="s">
        <v>361</v>
      </c>
      <c r="V191" s="83" t="s">
        <v>244</v>
      </c>
      <c r="W191" s="84" t="str">
        <f t="shared" si="4"/>
        <v>CLE-342</v>
      </c>
      <c r="X191" s="202">
        <v>80111600</v>
      </c>
      <c r="Y191" s="34" t="s">
        <v>574</v>
      </c>
      <c r="Z191" s="61" t="s">
        <v>393</v>
      </c>
      <c r="AA191" s="61" t="s">
        <v>393</v>
      </c>
      <c r="AB191" s="62">
        <v>4</v>
      </c>
      <c r="AC191" s="63" t="s">
        <v>241</v>
      </c>
      <c r="AD191" s="64" t="s">
        <v>242</v>
      </c>
      <c r="AE191" s="50">
        <v>3992196</v>
      </c>
      <c r="AF191" s="50">
        <v>3992196</v>
      </c>
      <c r="AG191" s="63" t="s">
        <v>244</v>
      </c>
      <c r="AH191" s="64" t="s">
        <v>245</v>
      </c>
      <c r="AI191" s="66" t="s">
        <v>246</v>
      </c>
      <c r="AJ191" s="67" t="s">
        <v>247</v>
      </c>
      <c r="AK191" s="68" t="s">
        <v>372</v>
      </c>
      <c r="AL191" s="69" t="s">
        <v>248</v>
      </c>
      <c r="AM191" s="70" t="s">
        <v>249</v>
      </c>
      <c r="AN191" s="65" t="s">
        <v>244</v>
      </c>
      <c r="AO191" s="65" t="s">
        <v>244</v>
      </c>
      <c r="AP191" s="71" t="s">
        <v>250</v>
      </c>
      <c r="AQ191" s="72" t="s">
        <v>251</v>
      </c>
      <c r="AR191" s="72" t="s">
        <v>252</v>
      </c>
      <c r="AS191" s="72" t="s">
        <v>250</v>
      </c>
      <c r="AT191" s="71"/>
      <c r="AU191" s="72"/>
    </row>
    <row r="192" spans="1:47" ht="33.75" x14ac:dyDescent="0.2">
      <c r="A192" s="44">
        <v>343</v>
      </c>
      <c r="B192" s="33" t="s">
        <v>90</v>
      </c>
      <c r="C192" s="33" t="s">
        <v>78</v>
      </c>
      <c r="D192" s="33" t="s">
        <v>375</v>
      </c>
      <c r="E192" s="33"/>
      <c r="F192" s="33" t="s">
        <v>374</v>
      </c>
      <c r="G192" s="45" t="s">
        <v>69</v>
      </c>
      <c r="H192" s="45" t="s">
        <v>28</v>
      </c>
      <c r="I192" s="95">
        <v>998049</v>
      </c>
      <c r="J192" s="195">
        <v>4</v>
      </c>
      <c r="K192" s="100">
        <v>3992196</v>
      </c>
      <c r="L192" s="59">
        <v>45136</v>
      </c>
      <c r="M192" s="58">
        <v>45260</v>
      </c>
      <c r="N192" s="80">
        <v>3992196</v>
      </c>
      <c r="O192" s="99"/>
      <c r="P192" s="99"/>
      <c r="Q192" s="201">
        <v>0</v>
      </c>
      <c r="R192" s="93">
        <v>3992196</v>
      </c>
      <c r="S192" s="202" t="s">
        <v>243</v>
      </c>
      <c r="T192" s="203" t="s">
        <v>373</v>
      </c>
      <c r="U192" s="204" t="s">
        <v>361</v>
      </c>
      <c r="V192" s="83" t="s">
        <v>244</v>
      </c>
      <c r="W192" s="84" t="str">
        <f t="shared" si="4"/>
        <v>CLE-343</v>
      </c>
      <c r="X192" s="202">
        <v>80111600</v>
      </c>
      <c r="Y192" s="34" t="s">
        <v>574</v>
      </c>
      <c r="Z192" s="61" t="s">
        <v>393</v>
      </c>
      <c r="AA192" s="61" t="s">
        <v>393</v>
      </c>
      <c r="AB192" s="62">
        <v>4</v>
      </c>
      <c r="AC192" s="63" t="s">
        <v>241</v>
      </c>
      <c r="AD192" s="64" t="s">
        <v>242</v>
      </c>
      <c r="AE192" s="50">
        <v>3992196</v>
      </c>
      <c r="AF192" s="50">
        <v>3992196</v>
      </c>
      <c r="AG192" s="63" t="s">
        <v>244</v>
      </c>
      <c r="AH192" s="64" t="s">
        <v>245</v>
      </c>
      <c r="AI192" s="66" t="s">
        <v>246</v>
      </c>
      <c r="AJ192" s="67" t="s">
        <v>247</v>
      </c>
      <c r="AK192" s="68" t="s">
        <v>372</v>
      </c>
      <c r="AL192" s="69" t="s">
        <v>248</v>
      </c>
      <c r="AM192" s="70" t="s">
        <v>249</v>
      </c>
      <c r="AN192" s="65" t="s">
        <v>244</v>
      </c>
      <c r="AO192" s="65" t="s">
        <v>244</v>
      </c>
      <c r="AP192" s="71" t="s">
        <v>250</v>
      </c>
      <c r="AQ192" s="72" t="s">
        <v>251</v>
      </c>
      <c r="AR192" s="72" t="s">
        <v>252</v>
      </c>
      <c r="AS192" s="72" t="s">
        <v>250</v>
      </c>
      <c r="AT192" s="71"/>
      <c r="AU192" s="72"/>
    </row>
    <row r="193" spans="1:47" ht="33.75" x14ac:dyDescent="0.2">
      <c r="A193" s="44">
        <v>344</v>
      </c>
      <c r="B193" s="33" t="s">
        <v>90</v>
      </c>
      <c r="C193" s="33" t="s">
        <v>78</v>
      </c>
      <c r="D193" s="33" t="s">
        <v>375</v>
      </c>
      <c r="E193" s="33"/>
      <c r="F193" s="33" t="s">
        <v>374</v>
      </c>
      <c r="G193" s="45" t="s">
        <v>69</v>
      </c>
      <c r="H193" s="45" t="s">
        <v>28</v>
      </c>
      <c r="I193" s="95">
        <v>998049</v>
      </c>
      <c r="J193" s="195">
        <v>4</v>
      </c>
      <c r="K193" s="100">
        <v>3992196</v>
      </c>
      <c r="L193" s="59">
        <v>45136</v>
      </c>
      <c r="M193" s="58">
        <v>45260</v>
      </c>
      <c r="N193" s="80">
        <v>3992196</v>
      </c>
      <c r="O193" s="99"/>
      <c r="P193" s="99"/>
      <c r="Q193" s="201">
        <v>0</v>
      </c>
      <c r="R193" s="93">
        <v>3992196</v>
      </c>
      <c r="S193" s="202" t="s">
        <v>243</v>
      </c>
      <c r="T193" s="203" t="s">
        <v>373</v>
      </c>
      <c r="U193" s="204" t="s">
        <v>361</v>
      </c>
      <c r="V193" s="83" t="s">
        <v>244</v>
      </c>
      <c r="W193" s="84" t="str">
        <f t="shared" si="4"/>
        <v>CLE-344</v>
      </c>
      <c r="X193" s="202">
        <v>80111600</v>
      </c>
      <c r="Y193" s="34" t="s">
        <v>574</v>
      </c>
      <c r="Z193" s="61" t="s">
        <v>393</v>
      </c>
      <c r="AA193" s="61" t="s">
        <v>393</v>
      </c>
      <c r="AB193" s="62">
        <v>4</v>
      </c>
      <c r="AC193" s="63" t="s">
        <v>241</v>
      </c>
      <c r="AD193" s="64" t="s">
        <v>242</v>
      </c>
      <c r="AE193" s="50">
        <v>3992196</v>
      </c>
      <c r="AF193" s="50">
        <v>3992196</v>
      </c>
      <c r="AG193" s="63" t="s">
        <v>244</v>
      </c>
      <c r="AH193" s="64" t="s">
        <v>245</v>
      </c>
      <c r="AI193" s="66" t="s">
        <v>246</v>
      </c>
      <c r="AJ193" s="67" t="s">
        <v>247</v>
      </c>
      <c r="AK193" s="68" t="s">
        <v>372</v>
      </c>
      <c r="AL193" s="69" t="s">
        <v>248</v>
      </c>
      <c r="AM193" s="70" t="s">
        <v>249</v>
      </c>
      <c r="AN193" s="65" t="s">
        <v>244</v>
      </c>
      <c r="AO193" s="65" t="s">
        <v>244</v>
      </c>
      <c r="AP193" s="71" t="s">
        <v>250</v>
      </c>
      <c r="AQ193" s="72" t="s">
        <v>251</v>
      </c>
      <c r="AR193" s="72" t="s">
        <v>252</v>
      </c>
      <c r="AS193" s="72" t="s">
        <v>250</v>
      </c>
      <c r="AT193" s="71"/>
      <c r="AU193" s="72"/>
    </row>
    <row r="194" spans="1:47" ht="33.75" x14ac:dyDescent="0.2">
      <c r="A194" s="44">
        <v>345</v>
      </c>
      <c r="B194" s="33" t="s">
        <v>90</v>
      </c>
      <c r="C194" s="33" t="s">
        <v>78</v>
      </c>
      <c r="D194" s="33" t="s">
        <v>375</v>
      </c>
      <c r="E194" s="33"/>
      <c r="F194" s="33" t="s">
        <v>374</v>
      </c>
      <c r="G194" s="45" t="s">
        <v>69</v>
      </c>
      <c r="H194" s="45" t="s">
        <v>28</v>
      </c>
      <c r="I194" s="95">
        <v>998049</v>
      </c>
      <c r="J194" s="195">
        <v>4</v>
      </c>
      <c r="K194" s="100">
        <v>3992196</v>
      </c>
      <c r="L194" s="59">
        <v>45136</v>
      </c>
      <c r="M194" s="58">
        <v>45260</v>
      </c>
      <c r="N194" s="80">
        <v>3992196</v>
      </c>
      <c r="O194" s="99"/>
      <c r="P194" s="99"/>
      <c r="Q194" s="201">
        <v>0</v>
      </c>
      <c r="R194" s="93">
        <v>3992196</v>
      </c>
      <c r="S194" s="202" t="s">
        <v>243</v>
      </c>
      <c r="T194" s="203" t="s">
        <v>373</v>
      </c>
      <c r="U194" s="204" t="s">
        <v>361</v>
      </c>
      <c r="V194" s="83" t="s">
        <v>244</v>
      </c>
      <c r="W194" s="84" t="str">
        <f t="shared" si="4"/>
        <v>CLE-345</v>
      </c>
      <c r="X194" s="202">
        <v>80111600</v>
      </c>
      <c r="Y194" s="34" t="s">
        <v>574</v>
      </c>
      <c r="Z194" s="61" t="s">
        <v>393</v>
      </c>
      <c r="AA194" s="61" t="s">
        <v>393</v>
      </c>
      <c r="AB194" s="62">
        <v>4</v>
      </c>
      <c r="AC194" s="63" t="s">
        <v>241</v>
      </c>
      <c r="AD194" s="64" t="s">
        <v>242</v>
      </c>
      <c r="AE194" s="50">
        <v>3992196</v>
      </c>
      <c r="AF194" s="50">
        <v>3992196</v>
      </c>
      <c r="AG194" s="63" t="s">
        <v>244</v>
      </c>
      <c r="AH194" s="64" t="s">
        <v>245</v>
      </c>
      <c r="AI194" s="66" t="s">
        <v>246</v>
      </c>
      <c r="AJ194" s="67" t="s">
        <v>247</v>
      </c>
      <c r="AK194" s="68" t="s">
        <v>372</v>
      </c>
      <c r="AL194" s="69" t="s">
        <v>248</v>
      </c>
      <c r="AM194" s="70" t="s">
        <v>249</v>
      </c>
      <c r="AN194" s="65" t="s">
        <v>244</v>
      </c>
      <c r="AO194" s="65" t="s">
        <v>244</v>
      </c>
      <c r="AP194" s="71" t="s">
        <v>250</v>
      </c>
      <c r="AQ194" s="72" t="s">
        <v>251</v>
      </c>
      <c r="AR194" s="72" t="s">
        <v>252</v>
      </c>
      <c r="AS194" s="72" t="s">
        <v>250</v>
      </c>
      <c r="AT194" s="71"/>
      <c r="AU194" s="72"/>
    </row>
    <row r="195" spans="1:47" ht="33.75" x14ac:dyDescent="0.2">
      <c r="A195" s="44">
        <v>346</v>
      </c>
      <c r="B195" s="33" t="s">
        <v>90</v>
      </c>
      <c r="C195" s="33" t="s">
        <v>78</v>
      </c>
      <c r="D195" s="33" t="s">
        <v>375</v>
      </c>
      <c r="E195" s="33"/>
      <c r="F195" s="33" t="s">
        <v>374</v>
      </c>
      <c r="G195" s="45" t="s">
        <v>69</v>
      </c>
      <c r="H195" s="45" t="s">
        <v>28</v>
      </c>
      <c r="I195" s="95">
        <v>998049</v>
      </c>
      <c r="J195" s="195">
        <v>4</v>
      </c>
      <c r="K195" s="100">
        <v>3992196</v>
      </c>
      <c r="L195" s="59">
        <v>45136</v>
      </c>
      <c r="M195" s="58">
        <v>45260</v>
      </c>
      <c r="N195" s="80">
        <v>3992196</v>
      </c>
      <c r="O195" s="99"/>
      <c r="P195" s="99"/>
      <c r="Q195" s="201">
        <v>0</v>
      </c>
      <c r="R195" s="93">
        <v>3992196</v>
      </c>
      <c r="S195" s="202" t="s">
        <v>243</v>
      </c>
      <c r="T195" s="203" t="s">
        <v>373</v>
      </c>
      <c r="U195" s="204" t="s">
        <v>361</v>
      </c>
      <c r="V195" s="83" t="s">
        <v>244</v>
      </c>
      <c r="W195" s="84" t="str">
        <f t="shared" si="4"/>
        <v>CLE-346</v>
      </c>
      <c r="X195" s="202">
        <v>80111600</v>
      </c>
      <c r="Y195" s="34" t="s">
        <v>574</v>
      </c>
      <c r="Z195" s="61" t="s">
        <v>393</v>
      </c>
      <c r="AA195" s="61" t="s">
        <v>393</v>
      </c>
      <c r="AB195" s="62">
        <v>4</v>
      </c>
      <c r="AC195" s="63" t="s">
        <v>241</v>
      </c>
      <c r="AD195" s="64" t="s">
        <v>242</v>
      </c>
      <c r="AE195" s="50">
        <v>3992196</v>
      </c>
      <c r="AF195" s="50">
        <v>3992196</v>
      </c>
      <c r="AG195" s="63" t="s">
        <v>244</v>
      </c>
      <c r="AH195" s="64" t="s">
        <v>245</v>
      </c>
      <c r="AI195" s="66" t="s">
        <v>246</v>
      </c>
      <c r="AJ195" s="67" t="s">
        <v>247</v>
      </c>
      <c r="AK195" s="68" t="s">
        <v>372</v>
      </c>
      <c r="AL195" s="69" t="s">
        <v>248</v>
      </c>
      <c r="AM195" s="70" t="s">
        <v>249</v>
      </c>
      <c r="AN195" s="65" t="s">
        <v>244</v>
      </c>
      <c r="AO195" s="65" t="s">
        <v>244</v>
      </c>
      <c r="AP195" s="71" t="s">
        <v>250</v>
      </c>
      <c r="AQ195" s="72" t="s">
        <v>251</v>
      </c>
      <c r="AR195" s="72" t="s">
        <v>252</v>
      </c>
      <c r="AS195" s="72" t="s">
        <v>250</v>
      </c>
      <c r="AT195" s="71"/>
      <c r="AU195" s="72"/>
    </row>
    <row r="196" spans="1:47" ht="33.75" x14ac:dyDescent="0.2">
      <c r="A196" s="44">
        <v>347</v>
      </c>
      <c r="B196" s="33" t="s">
        <v>90</v>
      </c>
      <c r="C196" s="33" t="s">
        <v>78</v>
      </c>
      <c r="D196" s="33" t="s">
        <v>375</v>
      </c>
      <c r="E196" s="33"/>
      <c r="F196" s="33" t="s">
        <v>374</v>
      </c>
      <c r="G196" s="45" t="s">
        <v>67</v>
      </c>
      <c r="H196" s="45" t="s">
        <v>28</v>
      </c>
      <c r="I196" s="75">
        <v>1186916</v>
      </c>
      <c r="J196" s="195">
        <v>2</v>
      </c>
      <c r="K196" s="93">
        <v>4747664</v>
      </c>
      <c r="L196" s="59">
        <v>45198</v>
      </c>
      <c r="M196" s="58">
        <v>45260</v>
      </c>
      <c r="N196" s="78">
        <v>2394651</v>
      </c>
      <c r="O196" s="99"/>
      <c r="P196" s="99"/>
      <c r="Q196" s="201">
        <v>0</v>
      </c>
      <c r="R196" s="93">
        <v>2394651</v>
      </c>
      <c r="S196" s="202" t="s">
        <v>243</v>
      </c>
      <c r="T196" s="203" t="s">
        <v>373</v>
      </c>
      <c r="U196" s="204" t="s">
        <v>361</v>
      </c>
      <c r="V196" s="83" t="s">
        <v>244</v>
      </c>
      <c r="W196" s="84" t="str">
        <f t="shared" si="4"/>
        <v>CLE-347</v>
      </c>
      <c r="X196" s="202">
        <v>80111600</v>
      </c>
      <c r="Y196" s="34" t="s">
        <v>574</v>
      </c>
      <c r="Z196" s="61" t="s">
        <v>393</v>
      </c>
      <c r="AA196" s="61" t="s">
        <v>393</v>
      </c>
      <c r="AB196" s="62">
        <v>4</v>
      </c>
      <c r="AC196" s="63" t="s">
        <v>241</v>
      </c>
      <c r="AD196" s="64" t="s">
        <v>242</v>
      </c>
      <c r="AE196" s="205">
        <v>2394651</v>
      </c>
      <c r="AF196" s="205">
        <v>2394651</v>
      </c>
      <c r="AG196" s="63" t="s">
        <v>244</v>
      </c>
      <c r="AH196" s="64" t="s">
        <v>245</v>
      </c>
      <c r="AI196" s="66" t="s">
        <v>246</v>
      </c>
      <c r="AJ196" s="67" t="s">
        <v>247</v>
      </c>
      <c r="AK196" s="68" t="s">
        <v>372</v>
      </c>
      <c r="AL196" s="69" t="s">
        <v>248</v>
      </c>
      <c r="AM196" s="70" t="s">
        <v>249</v>
      </c>
      <c r="AN196" s="65" t="s">
        <v>244</v>
      </c>
      <c r="AO196" s="65" t="s">
        <v>244</v>
      </c>
      <c r="AP196" s="71" t="s">
        <v>250</v>
      </c>
      <c r="AQ196" s="72" t="s">
        <v>251</v>
      </c>
      <c r="AR196" s="72" t="s">
        <v>252</v>
      </c>
      <c r="AS196" s="72" t="s">
        <v>250</v>
      </c>
      <c r="AT196" s="71"/>
      <c r="AU196" s="72"/>
    </row>
    <row r="197" spans="1:47" ht="33.75" x14ac:dyDescent="0.2">
      <c r="A197" s="44">
        <v>348</v>
      </c>
      <c r="B197" s="33" t="s">
        <v>90</v>
      </c>
      <c r="C197" s="33" t="s">
        <v>78</v>
      </c>
      <c r="D197" s="33" t="s">
        <v>375</v>
      </c>
      <c r="E197" s="33"/>
      <c r="F197" s="33" t="s">
        <v>374</v>
      </c>
      <c r="G197" s="45" t="s">
        <v>67</v>
      </c>
      <c r="H197" s="45" t="s">
        <v>28</v>
      </c>
      <c r="I197" s="75">
        <v>1186916</v>
      </c>
      <c r="J197" s="195">
        <v>2</v>
      </c>
      <c r="K197" s="93">
        <v>4747664</v>
      </c>
      <c r="L197" s="59">
        <v>45205</v>
      </c>
      <c r="M197" s="58">
        <v>45260</v>
      </c>
      <c r="N197" s="78">
        <v>2373832</v>
      </c>
      <c r="O197" s="99"/>
      <c r="P197" s="99"/>
      <c r="Q197" s="201">
        <v>0</v>
      </c>
      <c r="R197" s="93">
        <v>2373832</v>
      </c>
      <c r="S197" s="202" t="s">
        <v>243</v>
      </c>
      <c r="T197" s="203" t="s">
        <v>373</v>
      </c>
      <c r="U197" s="204" t="s">
        <v>361</v>
      </c>
      <c r="V197" s="83" t="s">
        <v>244</v>
      </c>
      <c r="W197" s="84" t="str">
        <f t="shared" si="4"/>
        <v>CLE-348</v>
      </c>
      <c r="X197" s="202">
        <v>80111600</v>
      </c>
      <c r="Y197" s="34" t="s">
        <v>574</v>
      </c>
      <c r="Z197" s="61" t="s">
        <v>393</v>
      </c>
      <c r="AA197" s="61" t="s">
        <v>393</v>
      </c>
      <c r="AB197" s="62">
        <v>4</v>
      </c>
      <c r="AC197" s="63" t="s">
        <v>241</v>
      </c>
      <c r="AD197" s="64" t="s">
        <v>242</v>
      </c>
      <c r="AE197" s="205">
        <v>2373832</v>
      </c>
      <c r="AF197" s="205">
        <v>2373832</v>
      </c>
      <c r="AG197" s="63" t="s">
        <v>244</v>
      </c>
      <c r="AH197" s="64" t="s">
        <v>245</v>
      </c>
      <c r="AI197" s="66" t="s">
        <v>246</v>
      </c>
      <c r="AJ197" s="67" t="s">
        <v>247</v>
      </c>
      <c r="AK197" s="68" t="s">
        <v>372</v>
      </c>
      <c r="AL197" s="69" t="s">
        <v>248</v>
      </c>
      <c r="AM197" s="70" t="s">
        <v>249</v>
      </c>
      <c r="AN197" s="65" t="s">
        <v>244</v>
      </c>
      <c r="AO197" s="65" t="s">
        <v>244</v>
      </c>
      <c r="AP197" s="71" t="s">
        <v>250</v>
      </c>
      <c r="AQ197" s="72" t="s">
        <v>251</v>
      </c>
      <c r="AR197" s="72" t="s">
        <v>252</v>
      </c>
      <c r="AS197" s="72" t="s">
        <v>250</v>
      </c>
      <c r="AT197" s="71"/>
      <c r="AU197" s="72"/>
    </row>
    <row r="198" spans="1:47" ht="33.75" x14ac:dyDescent="0.2">
      <c r="A198" s="44">
        <v>350</v>
      </c>
      <c r="B198" s="33" t="s">
        <v>90</v>
      </c>
      <c r="C198" s="33" t="s">
        <v>78</v>
      </c>
      <c r="D198" s="33" t="s">
        <v>375</v>
      </c>
      <c r="E198" s="33"/>
      <c r="F198" s="33" t="s">
        <v>374</v>
      </c>
      <c r="G198" s="45" t="s">
        <v>69</v>
      </c>
      <c r="H198" s="45" t="s">
        <v>28</v>
      </c>
      <c r="I198" s="75"/>
      <c r="J198" s="195">
        <v>4</v>
      </c>
      <c r="K198" s="93">
        <v>15013442</v>
      </c>
      <c r="L198" s="59">
        <v>45136</v>
      </c>
      <c r="M198" s="58">
        <v>45260</v>
      </c>
      <c r="N198" s="78">
        <v>15013442</v>
      </c>
      <c r="O198" s="99"/>
      <c r="P198" s="99"/>
      <c r="Q198" s="201">
        <v>0</v>
      </c>
      <c r="R198" s="93">
        <v>15013442</v>
      </c>
      <c r="S198" s="202" t="s">
        <v>243</v>
      </c>
      <c r="T198" s="203" t="s">
        <v>373</v>
      </c>
      <c r="U198" s="204" t="s">
        <v>361</v>
      </c>
      <c r="V198" s="83" t="s">
        <v>244</v>
      </c>
      <c r="W198" s="84" t="str">
        <f t="shared" si="4"/>
        <v>CLE-350</v>
      </c>
      <c r="X198" s="202">
        <v>80111600</v>
      </c>
      <c r="Y198" s="34" t="s">
        <v>574</v>
      </c>
      <c r="Z198" s="61" t="s">
        <v>393</v>
      </c>
      <c r="AA198" s="61" t="s">
        <v>393</v>
      </c>
      <c r="AB198" s="62">
        <v>4</v>
      </c>
      <c r="AC198" s="63" t="s">
        <v>241</v>
      </c>
      <c r="AD198" s="64" t="s">
        <v>242</v>
      </c>
      <c r="AE198" s="205">
        <v>15013442</v>
      </c>
      <c r="AF198" s="205">
        <v>15013442</v>
      </c>
      <c r="AG198" s="63" t="s">
        <v>244</v>
      </c>
      <c r="AH198" s="64" t="s">
        <v>245</v>
      </c>
      <c r="AI198" s="66" t="s">
        <v>246</v>
      </c>
      <c r="AJ198" s="67" t="s">
        <v>247</v>
      </c>
      <c r="AK198" s="68" t="s">
        <v>372</v>
      </c>
      <c r="AL198" s="69" t="s">
        <v>248</v>
      </c>
      <c r="AM198" s="70" t="s">
        <v>249</v>
      </c>
      <c r="AN198" s="65" t="s">
        <v>244</v>
      </c>
      <c r="AO198" s="65" t="s">
        <v>244</v>
      </c>
      <c r="AP198" s="71" t="s">
        <v>250</v>
      </c>
      <c r="AQ198" s="72" t="s">
        <v>251</v>
      </c>
      <c r="AR198" s="72" t="s">
        <v>252</v>
      </c>
      <c r="AS198" s="72" t="s">
        <v>250</v>
      </c>
      <c r="AT198" s="71"/>
      <c r="AU198" s="72"/>
    </row>
    <row r="199" spans="1:47" ht="33.75" x14ac:dyDescent="0.2">
      <c r="A199" s="44">
        <v>351</v>
      </c>
      <c r="B199" s="33" t="s">
        <v>90</v>
      </c>
      <c r="C199" s="33" t="s">
        <v>78</v>
      </c>
      <c r="D199" s="33" t="s">
        <v>375</v>
      </c>
      <c r="E199" s="33"/>
      <c r="F199" s="33" t="s">
        <v>374</v>
      </c>
      <c r="G199" s="45" t="s">
        <v>69</v>
      </c>
      <c r="H199" s="45" t="s">
        <v>28</v>
      </c>
      <c r="I199" s="75"/>
      <c r="J199" s="195">
        <v>4</v>
      </c>
      <c r="K199" s="93">
        <v>15764124</v>
      </c>
      <c r="L199" s="59">
        <v>45136</v>
      </c>
      <c r="M199" s="58">
        <v>45260</v>
      </c>
      <c r="N199" s="78">
        <v>15764124</v>
      </c>
      <c r="O199" s="99"/>
      <c r="P199" s="99"/>
      <c r="Q199" s="201">
        <v>0</v>
      </c>
      <c r="R199" s="93">
        <v>15764124</v>
      </c>
      <c r="S199" s="202" t="s">
        <v>243</v>
      </c>
      <c r="T199" s="203" t="s">
        <v>373</v>
      </c>
      <c r="U199" s="204" t="s">
        <v>361</v>
      </c>
      <c r="V199" s="83" t="s">
        <v>244</v>
      </c>
      <c r="W199" s="84" t="str">
        <f t="shared" si="4"/>
        <v>CLE-351</v>
      </c>
      <c r="X199" s="202">
        <v>80111600</v>
      </c>
      <c r="Y199" s="34" t="s">
        <v>574</v>
      </c>
      <c r="Z199" s="61" t="s">
        <v>393</v>
      </c>
      <c r="AA199" s="61" t="s">
        <v>393</v>
      </c>
      <c r="AB199" s="62">
        <v>4</v>
      </c>
      <c r="AC199" s="63" t="s">
        <v>241</v>
      </c>
      <c r="AD199" s="64" t="s">
        <v>242</v>
      </c>
      <c r="AE199" s="205">
        <v>15764124</v>
      </c>
      <c r="AF199" s="205">
        <v>15764124</v>
      </c>
      <c r="AG199" s="63" t="s">
        <v>244</v>
      </c>
      <c r="AH199" s="64" t="s">
        <v>245</v>
      </c>
      <c r="AI199" s="66" t="s">
        <v>246</v>
      </c>
      <c r="AJ199" s="67" t="s">
        <v>247</v>
      </c>
      <c r="AK199" s="68" t="s">
        <v>372</v>
      </c>
      <c r="AL199" s="69" t="s">
        <v>248</v>
      </c>
      <c r="AM199" s="70" t="s">
        <v>249</v>
      </c>
      <c r="AN199" s="65" t="s">
        <v>244</v>
      </c>
      <c r="AO199" s="65" t="s">
        <v>244</v>
      </c>
      <c r="AP199" s="71" t="s">
        <v>250</v>
      </c>
      <c r="AQ199" s="72" t="s">
        <v>251</v>
      </c>
      <c r="AR199" s="72" t="s">
        <v>252</v>
      </c>
      <c r="AS199" s="72" t="s">
        <v>250</v>
      </c>
      <c r="AT199" s="71"/>
      <c r="AU199" s="72"/>
    </row>
    <row r="200" spans="1:47" ht="33.75" x14ac:dyDescent="0.2">
      <c r="A200" s="44">
        <v>352</v>
      </c>
      <c r="B200" s="33" t="s">
        <v>90</v>
      </c>
      <c r="C200" s="33" t="s">
        <v>78</v>
      </c>
      <c r="D200" s="33" t="s">
        <v>375</v>
      </c>
      <c r="E200" s="33"/>
      <c r="F200" s="33" t="s">
        <v>374</v>
      </c>
      <c r="G200" s="45" t="s">
        <v>69</v>
      </c>
      <c r="H200" s="45" t="s">
        <v>28</v>
      </c>
      <c r="I200" s="75"/>
      <c r="J200" s="195">
        <v>4</v>
      </c>
      <c r="K200" s="93">
        <v>15013442</v>
      </c>
      <c r="L200" s="59">
        <v>45136</v>
      </c>
      <c r="M200" s="58">
        <v>45260</v>
      </c>
      <c r="N200" s="78">
        <v>15013442</v>
      </c>
      <c r="O200" s="99"/>
      <c r="P200" s="99"/>
      <c r="Q200" s="201">
        <v>0</v>
      </c>
      <c r="R200" s="93">
        <v>15013442</v>
      </c>
      <c r="S200" s="202" t="s">
        <v>243</v>
      </c>
      <c r="T200" s="203" t="s">
        <v>373</v>
      </c>
      <c r="U200" s="204" t="s">
        <v>361</v>
      </c>
      <c r="V200" s="83" t="s">
        <v>244</v>
      </c>
      <c r="W200" s="84" t="str">
        <f t="shared" si="4"/>
        <v>CLE-352</v>
      </c>
      <c r="X200" s="202">
        <v>80111600</v>
      </c>
      <c r="Y200" s="34" t="s">
        <v>574</v>
      </c>
      <c r="Z200" s="61" t="s">
        <v>393</v>
      </c>
      <c r="AA200" s="61" t="s">
        <v>393</v>
      </c>
      <c r="AB200" s="62">
        <v>4</v>
      </c>
      <c r="AC200" s="63" t="s">
        <v>241</v>
      </c>
      <c r="AD200" s="64" t="s">
        <v>242</v>
      </c>
      <c r="AE200" s="205">
        <v>15013442</v>
      </c>
      <c r="AF200" s="205">
        <v>15013442</v>
      </c>
      <c r="AG200" s="63" t="s">
        <v>244</v>
      </c>
      <c r="AH200" s="64" t="s">
        <v>245</v>
      </c>
      <c r="AI200" s="66" t="s">
        <v>246</v>
      </c>
      <c r="AJ200" s="67" t="s">
        <v>247</v>
      </c>
      <c r="AK200" s="68" t="s">
        <v>372</v>
      </c>
      <c r="AL200" s="69" t="s">
        <v>248</v>
      </c>
      <c r="AM200" s="70" t="s">
        <v>249</v>
      </c>
      <c r="AN200" s="65" t="s">
        <v>244</v>
      </c>
      <c r="AO200" s="65" t="s">
        <v>244</v>
      </c>
      <c r="AP200" s="71" t="s">
        <v>250</v>
      </c>
      <c r="AQ200" s="72" t="s">
        <v>251</v>
      </c>
      <c r="AR200" s="72" t="s">
        <v>252</v>
      </c>
      <c r="AS200" s="72" t="s">
        <v>250</v>
      </c>
      <c r="AT200" s="71"/>
      <c r="AU200" s="72"/>
    </row>
    <row r="201" spans="1:47" ht="33.75" x14ac:dyDescent="0.2">
      <c r="A201" s="44">
        <v>353</v>
      </c>
      <c r="B201" s="33" t="s">
        <v>90</v>
      </c>
      <c r="C201" s="33" t="s">
        <v>78</v>
      </c>
      <c r="D201" s="33" t="s">
        <v>375</v>
      </c>
      <c r="E201" s="33"/>
      <c r="F201" s="33" t="s">
        <v>374</v>
      </c>
      <c r="G201" s="45" t="s">
        <v>69</v>
      </c>
      <c r="H201" s="45" t="s">
        <v>28</v>
      </c>
      <c r="I201" s="75">
        <v>3002729</v>
      </c>
      <c r="J201" s="195">
        <v>4</v>
      </c>
      <c r="K201" s="93">
        <v>12010916</v>
      </c>
      <c r="L201" s="59">
        <v>45136</v>
      </c>
      <c r="M201" s="58">
        <v>45260</v>
      </c>
      <c r="N201" s="78">
        <v>12010916</v>
      </c>
      <c r="O201" s="99"/>
      <c r="P201" s="99"/>
      <c r="Q201" s="201">
        <v>0</v>
      </c>
      <c r="R201" s="93">
        <v>12010916</v>
      </c>
      <c r="S201" s="202" t="s">
        <v>243</v>
      </c>
      <c r="T201" s="203" t="s">
        <v>373</v>
      </c>
      <c r="U201" s="204" t="s">
        <v>361</v>
      </c>
      <c r="V201" s="83" t="s">
        <v>244</v>
      </c>
      <c r="W201" s="84" t="str">
        <f t="shared" si="4"/>
        <v>CLE-353</v>
      </c>
      <c r="X201" s="202">
        <v>80111600</v>
      </c>
      <c r="Y201" s="34" t="s">
        <v>574</v>
      </c>
      <c r="Z201" s="61" t="s">
        <v>393</v>
      </c>
      <c r="AA201" s="61" t="s">
        <v>393</v>
      </c>
      <c r="AB201" s="62">
        <v>4</v>
      </c>
      <c r="AC201" s="63" t="s">
        <v>241</v>
      </c>
      <c r="AD201" s="64" t="s">
        <v>242</v>
      </c>
      <c r="AE201" s="205">
        <v>12010916</v>
      </c>
      <c r="AF201" s="205">
        <v>120109160</v>
      </c>
      <c r="AG201" s="63" t="s">
        <v>244</v>
      </c>
      <c r="AH201" s="64" t="s">
        <v>245</v>
      </c>
      <c r="AI201" s="66" t="s">
        <v>246</v>
      </c>
      <c r="AJ201" s="67" t="s">
        <v>247</v>
      </c>
      <c r="AK201" s="68" t="s">
        <v>372</v>
      </c>
      <c r="AL201" s="69" t="s">
        <v>248</v>
      </c>
      <c r="AM201" s="70" t="s">
        <v>249</v>
      </c>
      <c r="AN201" s="65" t="s">
        <v>244</v>
      </c>
      <c r="AO201" s="65" t="s">
        <v>244</v>
      </c>
      <c r="AP201" s="71" t="s">
        <v>250</v>
      </c>
      <c r="AQ201" s="72" t="s">
        <v>251</v>
      </c>
      <c r="AR201" s="72" t="s">
        <v>252</v>
      </c>
      <c r="AS201" s="72" t="s">
        <v>250</v>
      </c>
      <c r="AT201" s="71"/>
      <c r="AU201" s="72"/>
    </row>
    <row r="202" spans="1:47" ht="33.75" x14ac:dyDescent="0.2">
      <c r="A202" s="44">
        <v>354</v>
      </c>
      <c r="B202" s="33" t="s">
        <v>90</v>
      </c>
      <c r="C202" s="33" t="s">
        <v>78</v>
      </c>
      <c r="D202" s="33" t="s">
        <v>375</v>
      </c>
      <c r="E202" s="33"/>
      <c r="F202" s="33" t="s">
        <v>374</v>
      </c>
      <c r="G202" s="45" t="s">
        <v>69</v>
      </c>
      <c r="H202" s="45" t="s">
        <v>28</v>
      </c>
      <c r="I202" s="75"/>
      <c r="J202" s="195">
        <v>4</v>
      </c>
      <c r="K202" s="93">
        <v>12159942</v>
      </c>
      <c r="L202" s="59">
        <v>45136</v>
      </c>
      <c r="M202" s="58">
        <v>45260</v>
      </c>
      <c r="N202" s="78">
        <v>12159942</v>
      </c>
      <c r="O202" s="99"/>
      <c r="P202" s="99"/>
      <c r="Q202" s="201">
        <v>0</v>
      </c>
      <c r="R202" s="93">
        <v>12159942</v>
      </c>
      <c r="S202" s="202" t="s">
        <v>243</v>
      </c>
      <c r="T202" s="203" t="s">
        <v>373</v>
      </c>
      <c r="U202" s="204" t="s">
        <v>361</v>
      </c>
      <c r="V202" s="83" t="s">
        <v>244</v>
      </c>
      <c r="W202" s="84" t="str">
        <f t="shared" si="4"/>
        <v>CLE-354</v>
      </c>
      <c r="X202" s="202">
        <v>80111600</v>
      </c>
      <c r="Y202" s="34" t="s">
        <v>574</v>
      </c>
      <c r="Z202" s="61" t="s">
        <v>393</v>
      </c>
      <c r="AA202" s="61" t="s">
        <v>393</v>
      </c>
      <c r="AB202" s="62">
        <v>4</v>
      </c>
      <c r="AC202" s="63" t="s">
        <v>241</v>
      </c>
      <c r="AD202" s="64" t="s">
        <v>242</v>
      </c>
      <c r="AE202" s="205">
        <v>12159942</v>
      </c>
      <c r="AF202" s="205">
        <v>12159942</v>
      </c>
      <c r="AG202" s="63" t="s">
        <v>244</v>
      </c>
      <c r="AH202" s="64" t="s">
        <v>245</v>
      </c>
      <c r="AI202" s="66" t="s">
        <v>246</v>
      </c>
      <c r="AJ202" s="67" t="s">
        <v>247</v>
      </c>
      <c r="AK202" s="68" t="s">
        <v>372</v>
      </c>
      <c r="AL202" s="69" t="s">
        <v>248</v>
      </c>
      <c r="AM202" s="70" t="s">
        <v>249</v>
      </c>
      <c r="AN202" s="65" t="s">
        <v>244</v>
      </c>
      <c r="AO202" s="65" t="s">
        <v>244</v>
      </c>
      <c r="AP202" s="71" t="s">
        <v>250</v>
      </c>
      <c r="AQ202" s="72" t="s">
        <v>251</v>
      </c>
      <c r="AR202" s="72" t="s">
        <v>252</v>
      </c>
      <c r="AS202" s="72" t="s">
        <v>250</v>
      </c>
      <c r="AT202" s="71"/>
      <c r="AU202" s="72"/>
    </row>
    <row r="203" spans="1:47" ht="33.75" x14ac:dyDescent="0.2">
      <c r="A203" s="44">
        <v>355</v>
      </c>
      <c r="B203" s="33" t="s">
        <v>90</v>
      </c>
      <c r="C203" s="33" t="s">
        <v>78</v>
      </c>
      <c r="D203" s="33" t="s">
        <v>375</v>
      </c>
      <c r="E203" s="33"/>
      <c r="F203" s="33" t="s">
        <v>374</v>
      </c>
      <c r="G203" s="45" t="s">
        <v>69</v>
      </c>
      <c r="H203" s="45" t="s">
        <v>28</v>
      </c>
      <c r="I203" s="75"/>
      <c r="J203" s="195">
        <v>4</v>
      </c>
      <c r="K203" s="93">
        <v>24021226</v>
      </c>
      <c r="L203" s="59">
        <v>45136</v>
      </c>
      <c r="M203" s="58">
        <v>45260</v>
      </c>
      <c r="N203" s="78">
        <v>24021226</v>
      </c>
      <c r="O203" s="99"/>
      <c r="P203" s="99"/>
      <c r="Q203" s="201">
        <v>0</v>
      </c>
      <c r="R203" s="93">
        <v>24021226</v>
      </c>
      <c r="S203" s="202" t="s">
        <v>243</v>
      </c>
      <c r="T203" s="203" t="s">
        <v>373</v>
      </c>
      <c r="U203" s="204" t="s">
        <v>361</v>
      </c>
      <c r="V203" s="83" t="s">
        <v>244</v>
      </c>
      <c r="W203" s="84" t="str">
        <f t="shared" si="4"/>
        <v>CLE-355</v>
      </c>
      <c r="X203" s="202">
        <v>80111600</v>
      </c>
      <c r="Y203" s="34" t="s">
        <v>574</v>
      </c>
      <c r="Z203" s="61" t="s">
        <v>393</v>
      </c>
      <c r="AA203" s="61" t="s">
        <v>393</v>
      </c>
      <c r="AB203" s="62">
        <v>4</v>
      </c>
      <c r="AC203" s="63" t="s">
        <v>241</v>
      </c>
      <c r="AD203" s="64" t="s">
        <v>242</v>
      </c>
      <c r="AE203" s="205">
        <v>24021226</v>
      </c>
      <c r="AF203" s="205">
        <v>24021226</v>
      </c>
      <c r="AG203" s="63" t="s">
        <v>244</v>
      </c>
      <c r="AH203" s="64" t="s">
        <v>245</v>
      </c>
      <c r="AI203" s="66" t="s">
        <v>246</v>
      </c>
      <c r="AJ203" s="67" t="s">
        <v>247</v>
      </c>
      <c r="AK203" s="68" t="s">
        <v>372</v>
      </c>
      <c r="AL203" s="69" t="s">
        <v>248</v>
      </c>
      <c r="AM203" s="70" t="s">
        <v>249</v>
      </c>
      <c r="AN203" s="65" t="s">
        <v>244</v>
      </c>
      <c r="AO203" s="65" t="s">
        <v>244</v>
      </c>
      <c r="AP203" s="71" t="s">
        <v>250</v>
      </c>
      <c r="AQ203" s="72" t="s">
        <v>251</v>
      </c>
      <c r="AR203" s="72" t="s">
        <v>252</v>
      </c>
      <c r="AS203" s="72" t="s">
        <v>250</v>
      </c>
      <c r="AT203" s="71"/>
      <c r="AU203" s="72"/>
    </row>
    <row r="204" spans="1:47" ht="33.75" x14ac:dyDescent="0.2">
      <c r="A204" s="44">
        <v>356</v>
      </c>
      <c r="B204" s="33" t="s">
        <v>90</v>
      </c>
      <c r="C204" s="33" t="s">
        <v>78</v>
      </c>
      <c r="D204" s="33" t="s">
        <v>375</v>
      </c>
      <c r="E204" s="33"/>
      <c r="F204" s="33" t="s">
        <v>374</v>
      </c>
      <c r="G204" s="45" t="s">
        <v>69</v>
      </c>
      <c r="H204" s="45" t="s">
        <v>28</v>
      </c>
      <c r="I204" s="75">
        <v>1662304</v>
      </c>
      <c r="J204" s="195">
        <v>4</v>
      </c>
      <c r="K204" s="93">
        <v>6649216</v>
      </c>
      <c r="L204" s="59">
        <v>45136</v>
      </c>
      <c r="M204" s="58">
        <v>45260</v>
      </c>
      <c r="N204" s="78">
        <v>6649216</v>
      </c>
      <c r="O204" s="99"/>
      <c r="P204" s="99"/>
      <c r="Q204" s="201">
        <v>0</v>
      </c>
      <c r="R204" s="93">
        <v>6649216</v>
      </c>
      <c r="S204" s="202" t="s">
        <v>243</v>
      </c>
      <c r="T204" s="203" t="s">
        <v>373</v>
      </c>
      <c r="U204" s="204" t="s">
        <v>361</v>
      </c>
      <c r="V204" s="83" t="s">
        <v>244</v>
      </c>
      <c r="W204" s="84" t="str">
        <f t="shared" si="4"/>
        <v>CLE-356</v>
      </c>
      <c r="X204" s="202">
        <v>80111600</v>
      </c>
      <c r="Y204" s="34" t="s">
        <v>574</v>
      </c>
      <c r="Z204" s="61" t="s">
        <v>393</v>
      </c>
      <c r="AA204" s="61" t="s">
        <v>393</v>
      </c>
      <c r="AB204" s="62">
        <v>4</v>
      </c>
      <c r="AC204" s="63" t="s">
        <v>241</v>
      </c>
      <c r="AD204" s="64" t="s">
        <v>242</v>
      </c>
      <c r="AE204" s="205">
        <v>6649216</v>
      </c>
      <c r="AF204" s="205">
        <v>6649216</v>
      </c>
      <c r="AG204" s="63" t="s">
        <v>244</v>
      </c>
      <c r="AH204" s="64" t="s">
        <v>245</v>
      </c>
      <c r="AI204" s="66" t="s">
        <v>246</v>
      </c>
      <c r="AJ204" s="67" t="s">
        <v>247</v>
      </c>
      <c r="AK204" s="68" t="s">
        <v>372</v>
      </c>
      <c r="AL204" s="69" t="s">
        <v>248</v>
      </c>
      <c r="AM204" s="70" t="s">
        <v>249</v>
      </c>
      <c r="AN204" s="65" t="s">
        <v>244</v>
      </c>
      <c r="AO204" s="65" t="s">
        <v>244</v>
      </c>
      <c r="AP204" s="71" t="s">
        <v>250</v>
      </c>
      <c r="AQ204" s="72" t="s">
        <v>251</v>
      </c>
      <c r="AR204" s="72" t="s">
        <v>252</v>
      </c>
      <c r="AS204" s="72" t="s">
        <v>250</v>
      </c>
      <c r="AT204" s="71"/>
      <c r="AU204" s="72"/>
    </row>
    <row r="205" spans="1:47" ht="33.75" x14ac:dyDescent="0.2">
      <c r="A205" s="44">
        <v>357</v>
      </c>
      <c r="B205" s="33" t="s">
        <v>90</v>
      </c>
      <c r="C205" s="33" t="s">
        <v>78</v>
      </c>
      <c r="D205" s="33" t="s">
        <v>375</v>
      </c>
      <c r="E205" s="33"/>
      <c r="F205" s="33" t="s">
        <v>374</v>
      </c>
      <c r="G205" s="45" t="s">
        <v>69</v>
      </c>
      <c r="H205" s="45" t="s">
        <v>28</v>
      </c>
      <c r="I205" s="75"/>
      <c r="J205" s="195">
        <v>4</v>
      </c>
      <c r="K205" s="93">
        <v>12159942</v>
      </c>
      <c r="L205" s="59">
        <v>45136</v>
      </c>
      <c r="M205" s="58">
        <v>45260</v>
      </c>
      <c r="N205" s="78">
        <v>12159942</v>
      </c>
      <c r="O205" s="99"/>
      <c r="P205" s="99"/>
      <c r="Q205" s="201">
        <v>0</v>
      </c>
      <c r="R205" s="93">
        <v>12159942</v>
      </c>
      <c r="S205" s="202" t="s">
        <v>243</v>
      </c>
      <c r="T205" s="203" t="s">
        <v>373</v>
      </c>
      <c r="U205" s="204" t="s">
        <v>361</v>
      </c>
      <c r="V205" s="83" t="s">
        <v>244</v>
      </c>
      <c r="W205" s="84" t="str">
        <f t="shared" si="4"/>
        <v>CLE-357</v>
      </c>
      <c r="X205" s="202">
        <v>80111600</v>
      </c>
      <c r="Y205" s="34" t="s">
        <v>574</v>
      </c>
      <c r="Z205" s="61" t="s">
        <v>393</v>
      </c>
      <c r="AA205" s="61" t="s">
        <v>393</v>
      </c>
      <c r="AB205" s="62">
        <v>4</v>
      </c>
      <c r="AC205" s="63" t="s">
        <v>241</v>
      </c>
      <c r="AD205" s="64" t="s">
        <v>242</v>
      </c>
      <c r="AE205" s="205">
        <v>12159942</v>
      </c>
      <c r="AF205" s="205">
        <v>12159942</v>
      </c>
      <c r="AG205" s="63" t="s">
        <v>244</v>
      </c>
      <c r="AH205" s="64" t="s">
        <v>245</v>
      </c>
      <c r="AI205" s="66" t="s">
        <v>246</v>
      </c>
      <c r="AJ205" s="67" t="s">
        <v>247</v>
      </c>
      <c r="AK205" s="68" t="s">
        <v>372</v>
      </c>
      <c r="AL205" s="69" t="s">
        <v>248</v>
      </c>
      <c r="AM205" s="70" t="s">
        <v>249</v>
      </c>
      <c r="AN205" s="65" t="s">
        <v>244</v>
      </c>
      <c r="AO205" s="65" t="s">
        <v>244</v>
      </c>
      <c r="AP205" s="71" t="s">
        <v>250</v>
      </c>
      <c r="AQ205" s="72" t="s">
        <v>251</v>
      </c>
      <c r="AR205" s="72" t="s">
        <v>252</v>
      </c>
      <c r="AS205" s="72" t="s">
        <v>250</v>
      </c>
      <c r="AT205" s="71"/>
      <c r="AU205" s="72"/>
    </row>
    <row r="206" spans="1:47" ht="33.75" x14ac:dyDescent="0.2">
      <c r="A206" s="44">
        <v>358</v>
      </c>
      <c r="B206" s="33" t="s">
        <v>90</v>
      </c>
      <c r="C206" s="33" t="s">
        <v>78</v>
      </c>
      <c r="D206" s="33" t="s">
        <v>375</v>
      </c>
      <c r="E206" s="33"/>
      <c r="F206" s="33" t="s">
        <v>374</v>
      </c>
      <c r="G206" s="45" t="s">
        <v>69</v>
      </c>
      <c r="H206" s="45" t="s">
        <v>28</v>
      </c>
      <c r="I206" s="75"/>
      <c r="J206" s="195">
        <v>4</v>
      </c>
      <c r="K206" s="93">
        <v>12159942</v>
      </c>
      <c r="L206" s="59">
        <v>45136</v>
      </c>
      <c r="M206" s="58">
        <v>45260</v>
      </c>
      <c r="N206" s="78">
        <v>12159942</v>
      </c>
      <c r="O206" s="99"/>
      <c r="P206" s="99"/>
      <c r="Q206" s="201">
        <v>0</v>
      </c>
      <c r="R206" s="93">
        <v>12159942</v>
      </c>
      <c r="S206" s="202" t="s">
        <v>243</v>
      </c>
      <c r="T206" s="203" t="s">
        <v>373</v>
      </c>
      <c r="U206" s="204" t="s">
        <v>361</v>
      </c>
      <c r="V206" s="83" t="s">
        <v>244</v>
      </c>
      <c r="W206" s="84" t="str">
        <f t="shared" si="4"/>
        <v>CLE-358</v>
      </c>
      <c r="X206" s="202">
        <v>80111600</v>
      </c>
      <c r="Y206" s="34" t="s">
        <v>574</v>
      </c>
      <c r="Z206" s="61" t="s">
        <v>393</v>
      </c>
      <c r="AA206" s="61" t="s">
        <v>393</v>
      </c>
      <c r="AB206" s="62">
        <v>4</v>
      </c>
      <c r="AC206" s="63" t="s">
        <v>241</v>
      </c>
      <c r="AD206" s="64" t="s">
        <v>242</v>
      </c>
      <c r="AE206" s="205">
        <v>12159942</v>
      </c>
      <c r="AF206" s="205">
        <v>12159942</v>
      </c>
      <c r="AG206" s="63" t="s">
        <v>244</v>
      </c>
      <c r="AH206" s="64" t="s">
        <v>245</v>
      </c>
      <c r="AI206" s="66" t="s">
        <v>246</v>
      </c>
      <c r="AJ206" s="67" t="s">
        <v>247</v>
      </c>
      <c r="AK206" s="68" t="s">
        <v>372</v>
      </c>
      <c r="AL206" s="69" t="s">
        <v>248</v>
      </c>
      <c r="AM206" s="70" t="s">
        <v>249</v>
      </c>
      <c r="AN206" s="65" t="s">
        <v>244</v>
      </c>
      <c r="AO206" s="65" t="s">
        <v>244</v>
      </c>
      <c r="AP206" s="71" t="s">
        <v>250</v>
      </c>
      <c r="AQ206" s="72" t="s">
        <v>251</v>
      </c>
      <c r="AR206" s="72" t="s">
        <v>252</v>
      </c>
      <c r="AS206" s="72" t="s">
        <v>250</v>
      </c>
      <c r="AT206" s="71"/>
      <c r="AU206" s="72"/>
    </row>
    <row r="207" spans="1:47" ht="33.75" x14ac:dyDescent="0.2">
      <c r="A207" s="44">
        <v>359</v>
      </c>
      <c r="B207" s="33" t="s">
        <v>90</v>
      </c>
      <c r="C207" s="33" t="s">
        <v>78</v>
      </c>
      <c r="D207" s="33" t="s">
        <v>375</v>
      </c>
      <c r="E207" s="33"/>
      <c r="F207" s="33" t="s">
        <v>374</v>
      </c>
      <c r="G207" s="45" t="s">
        <v>67</v>
      </c>
      <c r="H207" s="45" t="s">
        <v>28</v>
      </c>
      <c r="I207" s="75">
        <v>3856538</v>
      </c>
      <c r="J207" s="195">
        <v>4</v>
      </c>
      <c r="K207" s="93">
        <v>15426152</v>
      </c>
      <c r="L207" s="59">
        <v>45136</v>
      </c>
      <c r="M207" s="58">
        <v>45260</v>
      </c>
      <c r="N207" s="78">
        <v>15426152</v>
      </c>
      <c r="O207" s="99"/>
      <c r="P207" s="99"/>
      <c r="Q207" s="201">
        <v>0</v>
      </c>
      <c r="R207" s="93">
        <v>15426152</v>
      </c>
      <c r="S207" s="202" t="s">
        <v>243</v>
      </c>
      <c r="T207" s="203" t="s">
        <v>373</v>
      </c>
      <c r="U207" s="204" t="s">
        <v>361</v>
      </c>
      <c r="V207" s="83" t="s">
        <v>244</v>
      </c>
      <c r="W207" s="84" t="str">
        <f t="shared" si="4"/>
        <v>CLE-359</v>
      </c>
      <c r="X207" s="202">
        <v>80111600</v>
      </c>
      <c r="Y207" s="34" t="s">
        <v>574</v>
      </c>
      <c r="Z207" s="61" t="s">
        <v>393</v>
      </c>
      <c r="AA207" s="61" t="s">
        <v>393</v>
      </c>
      <c r="AB207" s="62">
        <v>4</v>
      </c>
      <c r="AC207" s="63" t="s">
        <v>241</v>
      </c>
      <c r="AD207" s="64" t="s">
        <v>242</v>
      </c>
      <c r="AE207" s="205">
        <v>15426152</v>
      </c>
      <c r="AF207" s="205">
        <v>15426152</v>
      </c>
      <c r="AG207" s="63" t="s">
        <v>244</v>
      </c>
      <c r="AH207" s="64" t="s">
        <v>245</v>
      </c>
      <c r="AI207" s="66" t="s">
        <v>246</v>
      </c>
      <c r="AJ207" s="67" t="s">
        <v>247</v>
      </c>
      <c r="AK207" s="68" t="s">
        <v>372</v>
      </c>
      <c r="AL207" s="69" t="s">
        <v>248</v>
      </c>
      <c r="AM207" s="70" t="s">
        <v>249</v>
      </c>
      <c r="AN207" s="65" t="s">
        <v>244</v>
      </c>
      <c r="AO207" s="65" t="s">
        <v>244</v>
      </c>
      <c r="AP207" s="71" t="s">
        <v>250</v>
      </c>
      <c r="AQ207" s="72" t="s">
        <v>251</v>
      </c>
      <c r="AR207" s="72" t="s">
        <v>252</v>
      </c>
      <c r="AS207" s="72" t="s">
        <v>250</v>
      </c>
      <c r="AT207" s="71"/>
      <c r="AU207" s="72"/>
    </row>
    <row r="208" spans="1:47" ht="33.75" x14ac:dyDescent="0.2">
      <c r="A208" s="44">
        <v>360</v>
      </c>
      <c r="B208" s="33" t="s">
        <v>90</v>
      </c>
      <c r="C208" s="33" t="s">
        <v>78</v>
      </c>
      <c r="D208" s="33" t="s">
        <v>375</v>
      </c>
      <c r="E208" s="33"/>
      <c r="F208" s="33" t="s">
        <v>374</v>
      </c>
      <c r="G208" s="45" t="s">
        <v>69</v>
      </c>
      <c r="H208" s="45" t="s">
        <v>28</v>
      </c>
      <c r="I208" s="75">
        <v>2741719</v>
      </c>
      <c r="J208" s="195">
        <v>4</v>
      </c>
      <c r="K208" s="93">
        <v>10966876</v>
      </c>
      <c r="L208" s="59">
        <v>45136</v>
      </c>
      <c r="M208" s="58">
        <v>45260</v>
      </c>
      <c r="N208" s="78">
        <v>10966876</v>
      </c>
      <c r="O208" s="99"/>
      <c r="P208" s="99"/>
      <c r="Q208" s="201">
        <v>0</v>
      </c>
      <c r="R208" s="93">
        <v>10966876</v>
      </c>
      <c r="S208" s="202" t="s">
        <v>243</v>
      </c>
      <c r="T208" s="203" t="s">
        <v>373</v>
      </c>
      <c r="U208" s="204" t="s">
        <v>361</v>
      </c>
      <c r="V208" s="83" t="s">
        <v>244</v>
      </c>
      <c r="W208" s="84" t="str">
        <f t="shared" si="4"/>
        <v>CLE-360</v>
      </c>
      <c r="X208" s="202">
        <v>80111600</v>
      </c>
      <c r="Y208" s="34" t="s">
        <v>574</v>
      </c>
      <c r="Z208" s="61" t="s">
        <v>393</v>
      </c>
      <c r="AA208" s="61" t="s">
        <v>393</v>
      </c>
      <c r="AB208" s="62">
        <v>4</v>
      </c>
      <c r="AC208" s="63" t="s">
        <v>241</v>
      </c>
      <c r="AD208" s="64" t="s">
        <v>242</v>
      </c>
      <c r="AE208" s="205">
        <v>10966876</v>
      </c>
      <c r="AF208" s="205">
        <v>10966876</v>
      </c>
      <c r="AG208" s="63" t="s">
        <v>244</v>
      </c>
      <c r="AH208" s="64" t="s">
        <v>245</v>
      </c>
      <c r="AI208" s="66" t="s">
        <v>246</v>
      </c>
      <c r="AJ208" s="67" t="s">
        <v>247</v>
      </c>
      <c r="AK208" s="68" t="s">
        <v>372</v>
      </c>
      <c r="AL208" s="69" t="s">
        <v>248</v>
      </c>
      <c r="AM208" s="70" t="s">
        <v>249</v>
      </c>
      <c r="AN208" s="65" t="s">
        <v>244</v>
      </c>
      <c r="AO208" s="65" t="s">
        <v>244</v>
      </c>
      <c r="AP208" s="71" t="s">
        <v>250</v>
      </c>
      <c r="AQ208" s="72" t="s">
        <v>251</v>
      </c>
      <c r="AR208" s="72" t="s">
        <v>252</v>
      </c>
      <c r="AS208" s="72" t="s">
        <v>250</v>
      </c>
      <c r="AT208" s="71"/>
      <c r="AU208" s="72"/>
    </row>
    <row r="209" spans="1:47" ht="33.75" x14ac:dyDescent="0.2">
      <c r="A209" s="44">
        <v>361</v>
      </c>
      <c r="B209" s="33" t="s">
        <v>90</v>
      </c>
      <c r="C209" s="33" t="s">
        <v>78</v>
      </c>
      <c r="D209" s="33" t="s">
        <v>375</v>
      </c>
      <c r="E209" s="33"/>
      <c r="F209" s="33" t="s">
        <v>374</v>
      </c>
      <c r="G209" s="45" t="s">
        <v>69</v>
      </c>
      <c r="H209" s="45" t="s">
        <v>28</v>
      </c>
      <c r="I209" s="75">
        <v>3753411</v>
      </c>
      <c r="J209" s="195">
        <v>4</v>
      </c>
      <c r="K209" s="93">
        <v>15013644</v>
      </c>
      <c r="L209" s="59">
        <v>45136</v>
      </c>
      <c r="M209" s="58">
        <v>45260</v>
      </c>
      <c r="N209" s="78">
        <v>15013644</v>
      </c>
      <c r="O209" s="99"/>
      <c r="P209" s="99"/>
      <c r="Q209" s="201">
        <v>0</v>
      </c>
      <c r="R209" s="93">
        <v>15013644</v>
      </c>
      <c r="S209" s="202" t="s">
        <v>243</v>
      </c>
      <c r="T209" s="203" t="s">
        <v>373</v>
      </c>
      <c r="U209" s="204" t="s">
        <v>361</v>
      </c>
      <c r="V209" s="83" t="s">
        <v>244</v>
      </c>
      <c r="W209" s="84" t="str">
        <f t="shared" si="4"/>
        <v>CLE-361</v>
      </c>
      <c r="X209" s="202">
        <v>80111600</v>
      </c>
      <c r="Y209" s="34" t="s">
        <v>574</v>
      </c>
      <c r="Z209" s="61" t="s">
        <v>393</v>
      </c>
      <c r="AA209" s="61" t="s">
        <v>393</v>
      </c>
      <c r="AB209" s="62">
        <v>4</v>
      </c>
      <c r="AC209" s="63" t="s">
        <v>241</v>
      </c>
      <c r="AD209" s="64" t="s">
        <v>242</v>
      </c>
      <c r="AE209" s="205">
        <v>15013644</v>
      </c>
      <c r="AF209" s="205">
        <v>15013644</v>
      </c>
      <c r="AG209" s="63" t="s">
        <v>244</v>
      </c>
      <c r="AH209" s="64" t="s">
        <v>245</v>
      </c>
      <c r="AI209" s="66" t="s">
        <v>246</v>
      </c>
      <c r="AJ209" s="67" t="s">
        <v>247</v>
      </c>
      <c r="AK209" s="68" t="s">
        <v>372</v>
      </c>
      <c r="AL209" s="69" t="s">
        <v>248</v>
      </c>
      <c r="AM209" s="70" t="s">
        <v>249</v>
      </c>
      <c r="AN209" s="65" t="s">
        <v>244</v>
      </c>
      <c r="AO209" s="65" t="s">
        <v>244</v>
      </c>
      <c r="AP209" s="71" t="s">
        <v>250</v>
      </c>
      <c r="AQ209" s="72" t="s">
        <v>251</v>
      </c>
      <c r="AR209" s="72" t="s">
        <v>252</v>
      </c>
      <c r="AS209" s="72" t="s">
        <v>250</v>
      </c>
      <c r="AT209" s="71"/>
      <c r="AU209" s="72"/>
    </row>
  </sheetData>
  <autoFilter ref="A5:AU209" xr:uid="{6FF1732F-FE07-4DBD-8B93-1FEF00937DDA}"/>
  <mergeCells count="6">
    <mergeCell ref="AS4:AU4"/>
    <mergeCell ref="J2:X2"/>
    <mergeCell ref="L4:N4"/>
    <mergeCell ref="O4:Q4"/>
    <mergeCell ref="W4:AO4"/>
    <mergeCell ref="AP4:AR4"/>
  </mergeCells>
  <conditionalFormatting sqref="U102">
    <cfRule type="cellIs" dxfId="6" priority="5" operator="equal">
      <formula>"NO"</formula>
    </cfRule>
  </conditionalFormatting>
  <conditionalFormatting sqref="V6:V44 V62:V102 V188:V209">
    <cfRule type="cellIs" dxfId="5" priority="6" operator="equal">
      <formula>"SI"</formula>
    </cfRule>
  </conditionalFormatting>
  <conditionalFormatting sqref="V55:V56">
    <cfRule type="cellIs" dxfId="4" priority="7" operator="equal">
      <formula>"SI"</formula>
    </cfRule>
  </conditionalFormatting>
  <conditionalFormatting sqref="V104:V105">
    <cfRule type="cellIs" dxfId="3" priority="4" operator="equal">
      <formula>"SI"</formula>
    </cfRule>
  </conditionalFormatting>
  <conditionalFormatting sqref="V110:V141">
    <cfRule type="cellIs" dxfId="2" priority="3" operator="equal">
      <formula>"SI"</formula>
    </cfRule>
  </conditionalFormatting>
  <conditionalFormatting sqref="V146:V182">
    <cfRule type="cellIs" dxfId="1" priority="2" operator="equal">
      <formula>"SI"</formula>
    </cfRule>
  </conditionalFormatting>
  <conditionalFormatting sqref="V184:V185">
    <cfRule type="cellIs" dxfId="0" priority="1" operator="equal">
      <formula>"SI"</formula>
    </cfRule>
  </conditionalFormatting>
  <dataValidations count="2">
    <dataValidation type="list" allowBlank="1" showInputMessage="1" showErrorMessage="1" sqref="AN110:AO141 AN184:AO185 AN188:AO209 AN146:AO182 AG6:AG9 AN6:AO9 AN62:AO102" xr:uid="{081A1164-5082-439C-802F-C910F5450D36}">
      <formula1>"SI,NO"</formula1>
    </dataValidation>
    <dataValidation type="list" allowBlank="1" showInputMessage="1" showErrorMessage="1" sqref="AC110:AC141 AC184:AC185 AC188:AC209 AC146:AC182 AC62:AC101 AC6:AC9" xr:uid="{DB25C4AA-63BC-42D7-BA26-BE7D2C6E9164}">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62DEBFD-40F4-4674-80E1-10D9280296C8}">
          <x14:formula1>
            <xm:f>'https://pedagogicaedu-my.sharepoint.com/Users/jeespitias/OneDrive - Universidad Pedagogica Nacional/Documentos/JhonE/Presupuesto/Ppto 2023/[PAA UPN 2023 Consolidados 06Ene2023.xlsx]Listas'!#REF!</xm:f>
          </x14:formula1>
          <xm:sqref>AD121 AD125:AD129 AD132:AD133 AD135 AD137:AD140 AD157 AD162:AD166 AD177:AD180 AD175 AD170:AD173 AD191:AD209 AD99:AD101</xm:sqref>
        </x14:dataValidation>
        <x14:dataValidation type="list" allowBlank="1" showInputMessage="1" showErrorMessage="1" xr:uid="{4FE58229-C102-4BDE-951D-C2A8F80A32CC}">
          <x14:formula1>
            <xm:f>'C:\Users\jeespitias\OneDrive - Universidad Pedagogica Nacional\Documentos\JhonE\Presupuesto\Ppto 2023\[PAA UPN 2023 Consolidados 06Ene2023.xlsx]Listas'!#REF!</xm:f>
          </x14:formula1>
          <xm:sqref>AD122:AD124 AD130:AD131 AD134 AD136 AD141 AD110:AD120 AD181:AD182 AD174 AD176 AD167:AD169 AD158:AD161 AD184:AD185 AD188:AD190 AD146:AD156 AD62:AD98 AH6:AH9 AD6:AD9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FFD0-1880-4418-BDE0-869451891241}">
  <sheetPr filterMode="1"/>
  <dimension ref="B1:L13"/>
  <sheetViews>
    <sheetView workbookViewId="0">
      <selection activeCell="H3" sqref="H3"/>
    </sheetView>
  </sheetViews>
  <sheetFormatPr baseColWidth="10" defaultRowHeight="15" x14ac:dyDescent="0.25"/>
  <cols>
    <col min="2" max="2" width="13.140625" customWidth="1"/>
    <col min="12" max="12" width="48" customWidth="1"/>
  </cols>
  <sheetData>
    <row r="1" spans="2:12" x14ac:dyDescent="0.25">
      <c r="H1" s="222">
        <f>SUBTOTAL(9,H2:H14)</f>
        <v>449000000</v>
      </c>
    </row>
    <row r="2" spans="2:12" ht="33.75" x14ac:dyDescent="0.25">
      <c r="B2" s="218" t="s">
        <v>576</v>
      </c>
      <c r="C2" s="218" t="s">
        <v>54</v>
      </c>
      <c r="D2" s="218" t="s">
        <v>582</v>
      </c>
      <c r="E2" s="218" t="s">
        <v>583</v>
      </c>
      <c r="F2" s="218" t="s">
        <v>584</v>
      </c>
      <c r="G2" s="218" t="s">
        <v>585</v>
      </c>
      <c r="H2" s="219" t="s">
        <v>586</v>
      </c>
      <c r="I2" s="220" t="s">
        <v>587</v>
      </c>
      <c r="J2" s="220" t="s">
        <v>588</v>
      </c>
      <c r="K2" s="220"/>
      <c r="L2" s="220" t="s">
        <v>217</v>
      </c>
    </row>
    <row r="3" spans="2:12" ht="67.5" x14ac:dyDescent="0.25">
      <c r="B3" s="221" t="s">
        <v>577</v>
      </c>
      <c r="C3" s="221" t="s">
        <v>578</v>
      </c>
      <c r="D3" s="221" t="s">
        <v>589</v>
      </c>
      <c r="E3" s="221" t="s">
        <v>590</v>
      </c>
      <c r="F3" s="221" t="s">
        <v>591</v>
      </c>
      <c r="G3" s="221" t="str">
        <f>VLOOKUP(F3,[7]Listas!$B$155:$C$173, 2, FALSE)</f>
        <v>Aportes de la Nación – Inversión</v>
      </c>
      <c r="H3" s="222">
        <v>60500000</v>
      </c>
      <c r="I3" s="223" t="s">
        <v>592</v>
      </c>
      <c r="J3" s="228" t="s">
        <v>593</v>
      </c>
      <c r="K3" s="224" t="s">
        <v>614</v>
      </c>
      <c r="L3" s="225" t="s">
        <v>605</v>
      </c>
    </row>
    <row r="4" spans="2:12" ht="67.5" x14ac:dyDescent="0.25">
      <c r="B4" s="221" t="s">
        <v>577</v>
      </c>
      <c r="C4" s="221" t="s">
        <v>578</v>
      </c>
      <c r="D4" s="221" t="s">
        <v>589</v>
      </c>
      <c r="E4" s="221" t="s">
        <v>590</v>
      </c>
      <c r="F4" s="221" t="s">
        <v>594</v>
      </c>
      <c r="G4" s="221" t="str">
        <f>VLOOKUP(F4,[7]Listas!$B$155:$C$173, 2, FALSE)</f>
        <v>Recursos del Balance - Recursos Nación Inversión</v>
      </c>
      <c r="H4" s="222">
        <v>60500000</v>
      </c>
      <c r="I4" s="223" t="s">
        <v>307</v>
      </c>
      <c r="J4" s="228" t="s">
        <v>593</v>
      </c>
      <c r="K4" s="224" t="s">
        <v>615</v>
      </c>
      <c r="L4" s="225" t="s">
        <v>606</v>
      </c>
    </row>
    <row r="5" spans="2:12" ht="67.5" x14ac:dyDescent="0.25">
      <c r="B5" s="221" t="s">
        <v>577</v>
      </c>
      <c r="C5" s="221" t="s">
        <v>578</v>
      </c>
      <c r="D5" s="221" t="s">
        <v>589</v>
      </c>
      <c r="E5" s="221" t="s">
        <v>590</v>
      </c>
      <c r="F5" s="221" t="s">
        <v>594</v>
      </c>
      <c r="G5" s="221" t="str">
        <f>VLOOKUP(F5,[7]Listas!$B$155:$C$173, 2, FALSE)</f>
        <v>Recursos del Balance - Recursos Nación Inversión</v>
      </c>
      <c r="H5" s="222">
        <v>60500000</v>
      </c>
      <c r="I5" s="223" t="s">
        <v>308</v>
      </c>
      <c r="J5" s="228" t="s">
        <v>593</v>
      </c>
      <c r="K5" s="224" t="s">
        <v>616</v>
      </c>
      <c r="L5" s="225" t="s">
        <v>607</v>
      </c>
    </row>
    <row r="6" spans="2:12" ht="56.25" hidden="1" x14ac:dyDescent="0.25">
      <c r="B6" s="221" t="s">
        <v>577</v>
      </c>
      <c r="C6" s="221" t="s">
        <v>578</v>
      </c>
      <c r="D6" s="221" t="s">
        <v>589</v>
      </c>
      <c r="E6" s="221" t="s">
        <v>595</v>
      </c>
      <c r="F6" s="221" t="s">
        <v>591</v>
      </c>
      <c r="G6" s="221" t="str">
        <f>VLOOKUP(F6,[7]Listas!$B$155:$C$173, 2, FALSE)</f>
        <v>Aportes de la Nación – Inversión</v>
      </c>
      <c r="H6" s="226">
        <v>30000000</v>
      </c>
      <c r="I6" s="223" t="s">
        <v>309</v>
      </c>
      <c r="J6" s="224" t="s">
        <v>593</v>
      </c>
      <c r="K6" s="224" t="s">
        <v>617</v>
      </c>
      <c r="L6" s="225" t="s">
        <v>608</v>
      </c>
    </row>
    <row r="7" spans="2:12" ht="67.5" x14ac:dyDescent="0.25">
      <c r="B7" s="221" t="s">
        <v>577</v>
      </c>
      <c r="C7" s="221" t="s">
        <v>577</v>
      </c>
      <c r="D7" s="221" t="s">
        <v>589</v>
      </c>
      <c r="E7" s="221" t="s">
        <v>590</v>
      </c>
      <c r="F7" s="221" t="s">
        <v>596</v>
      </c>
      <c r="G7" s="221" t="str">
        <f>VLOOKUP(F7,[7]Listas!$B$155:$C$173, 2, FALSE)</f>
        <v>Rendimientos PFC-SUE</v>
      </c>
      <c r="H7" s="222">
        <v>88000000</v>
      </c>
      <c r="I7" s="223" t="s">
        <v>597</v>
      </c>
      <c r="J7" s="229" t="s">
        <v>593</v>
      </c>
      <c r="K7" s="224" t="s">
        <v>618</v>
      </c>
      <c r="L7" s="225" t="s">
        <v>609</v>
      </c>
    </row>
    <row r="8" spans="2:12" ht="67.5" x14ac:dyDescent="0.25">
      <c r="B8" s="221" t="s">
        <v>577</v>
      </c>
      <c r="C8" s="221" t="s">
        <v>577</v>
      </c>
      <c r="D8" s="221" t="s">
        <v>589</v>
      </c>
      <c r="E8" s="221" t="s">
        <v>590</v>
      </c>
      <c r="F8" s="221" t="s">
        <v>596</v>
      </c>
      <c r="G8" s="221" t="str">
        <f>VLOOKUP(F8,[7]Listas!$B$155:$C$173, 2, FALSE)</f>
        <v>Rendimientos PFC-SUE</v>
      </c>
      <c r="H8" s="222">
        <v>77000000</v>
      </c>
      <c r="I8" s="223" t="s">
        <v>598</v>
      </c>
      <c r="J8" s="229" t="s">
        <v>593</v>
      </c>
      <c r="K8" s="224" t="s">
        <v>619</v>
      </c>
      <c r="L8" s="225" t="s">
        <v>610</v>
      </c>
    </row>
    <row r="9" spans="2:12" ht="67.5" x14ac:dyDescent="0.25">
      <c r="B9" s="221" t="s">
        <v>579</v>
      </c>
      <c r="C9" s="221" t="s">
        <v>580</v>
      </c>
      <c r="D9" s="221" t="s">
        <v>589</v>
      </c>
      <c r="E9" s="221" t="s">
        <v>590</v>
      </c>
      <c r="F9" s="221" t="s">
        <v>599</v>
      </c>
      <c r="G9" s="221" t="e">
        <f>VLOOKUP(F9,[7]Listas!$B$155:$C$173, 2, FALSE)</f>
        <v>#N/A</v>
      </c>
      <c r="H9" s="227">
        <v>15000000</v>
      </c>
      <c r="I9" s="223" t="s">
        <v>600</v>
      </c>
      <c r="J9" s="228" t="s">
        <v>593</v>
      </c>
      <c r="K9" s="224" t="s">
        <v>620</v>
      </c>
      <c r="L9" s="225" t="s">
        <v>611</v>
      </c>
    </row>
    <row r="10" spans="2:12" ht="67.5" x14ac:dyDescent="0.25">
      <c r="B10" s="221" t="s">
        <v>577</v>
      </c>
      <c r="C10" s="221" t="s">
        <v>578</v>
      </c>
      <c r="D10" s="221" t="s">
        <v>589</v>
      </c>
      <c r="E10" s="221" t="s">
        <v>590</v>
      </c>
      <c r="F10" s="221" t="s">
        <v>599</v>
      </c>
      <c r="G10" s="221" t="e">
        <f>VLOOKUP(F10,[7]Listas!$B$155:$C$173, 2, FALSE)</f>
        <v>#N/A</v>
      </c>
      <c r="H10" s="222">
        <v>36000000</v>
      </c>
      <c r="I10" s="223" t="s">
        <v>601</v>
      </c>
      <c r="J10" s="229" t="s">
        <v>593</v>
      </c>
      <c r="K10" s="224" t="s">
        <v>621</v>
      </c>
      <c r="L10" s="225" t="s">
        <v>495</v>
      </c>
    </row>
    <row r="11" spans="2:12" ht="67.5" x14ac:dyDescent="0.25">
      <c r="B11" s="221" t="s">
        <v>579</v>
      </c>
      <c r="C11" s="221" t="s">
        <v>581</v>
      </c>
      <c r="D11" s="221" t="s">
        <v>589</v>
      </c>
      <c r="E11" s="221" t="s">
        <v>590</v>
      </c>
      <c r="F11" s="221" t="s">
        <v>599</v>
      </c>
      <c r="G11" s="221" t="e">
        <f>VLOOKUP(F11,[7]Listas!$B$155:$C$173, 2, FALSE)</f>
        <v>#N/A</v>
      </c>
      <c r="H11" s="227">
        <v>20600000</v>
      </c>
      <c r="I11" s="223" t="s">
        <v>602</v>
      </c>
      <c r="J11" s="230" t="s">
        <v>593</v>
      </c>
      <c r="K11" s="224" t="s">
        <v>622</v>
      </c>
      <c r="L11" s="225" t="s">
        <v>612</v>
      </c>
    </row>
    <row r="12" spans="2:12" ht="67.5" x14ac:dyDescent="0.25">
      <c r="B12" s="221" t="s">
        <v>579</v>
      </c>
      <c r="C12" s="221" t="s">
        <v>581</v>
      </c>
      <c r="D12" s="221" t="s">
        <v>589</v>
      </c>
      <c r="E12" s="221" t="s">
        <v>590</v>
      </c>
      <c r="F12" s="221" t="s">
        <v>599</v>
      </c>
      <c r="G12" s="221" t="e">
        <f>VLOOKUP(F12,[7]Listas!$B$155:$C$173, 2, FALSE)</f>
        <v>#N/A</v>
      </c>
      <c r="H12" s="227">
        <v>15450000</v>
      </c>
      <c r="I12" s="223" t="s">
        <v>603</v>
      </c>
      <c r="J12" s="230" t="s">
        <v>593</v>
      </c>
      <c r="K12" s="224" t="s">
        <v>622</v>
      </c>
      <c r="L12" s="225" t="s">
        <v>612</v>
      </c>
    </row>
    <row r="13" spans="2:12" ht="67.5" x14ac:dyDescent="0.25">
      <c r="B13" s="221" t="s">
        <v>579</v>
      </c>
      <c r="C13" s="221" t="s">
        <v>581</v>
      </c>
      <c r="D13" s="221" t="s">
        <v>589</v>
      </c>
      <c r="E13" s="221" t="s">
        <v>590</v>
      </c>
      <c r="F13" s="221" t="s">
        <v>599</v>
      </c>
      <c r="G13" s="221" t="e">
        <f>VLOOKUP(F13,[7]Listas!$B$155:$C$173, 2, FALSE)</f>
        <v>#N/A</v>
      </c>
      <c r="H13" s="227">
        <v>15450000</v>
      </c>
      <c r="I13" s="223" t="s">
        <v>604</v>
      </c>
      <c r="J13" s="230" t="s">
        <v>593</v>
      </c>
      <c r="K13" s="224" t="s">
        <v>622</v>
      </c>
      <c r="L13" s="225" t="s">
        <v>613</v>
      </c>
    </row>
  </sheetData>
  <autoFilter ref="B2:L13" xr:uid="{DAAB2C34-0EE6-4E50-B9F9-FFDE92C631BF}">
    <filterColumn colId="8">
      <colorFilter dxfId="60" cellColor="0"/>
    </filterColumn>
  </autoFilter>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0DE018-1159-46B6-BC1A-7A04E3F04CAE}">
          <x14:formula1>
            <xm:f>'https://pedagogicaedu-my.sharepoint.com/personal/jeespitias_upn_edu_co/Documents/Documentos/JhonE/PDI/Proyectos/Proyectos 2024/[Ficha Proyectos Inversión UPN 2024.xlsx]Listas'!#REF!</xm:f>
          </x14:formula1>
          <xm:sqref>F3:F14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FEE-9B9A-443C-A4FC-67C2A2973FB5}">
  <dimension ref="A1:F22"/>
  <sheetViews>
    <sheetView workbookViewId="0">
      <pane xSplit="2" ySplit="1" topLeftCell="C8" activePane="bottomRight" state="frozen"/>
      <selection pane="topRight" activeCell="C1" sqref="C1"/>
      <selection pane="bottomLeft" activeCell="A2" sqref="A2"/>
      <selection pane="bottomRight" activeCell="B13" sqref="B13:D16"/>
    </sheetView>
  </sheetViews>
  <sheetFormatPr baseColWidth="10" defaultColWidth="11.42578125" defaultRowHeight="15" x14ac:dyDescent="0.25"/>
  <cols>
    <col min="1" max="1" width="26.7109375" style="1" customWidth="1"/>
    <col min="2" max="2" width="15.140625" style="1" bestFit="1" customWidth="1"/>
    <col min="3" max="3" width="27.5703125" style="1" customWidth="1"/>
    <col min="4" max="4" width="37.42578125" style="1" customWidth="1"/>
    <col min="5" max="6" width="25.85546875" style="1" customWidth="1"/>
    <col min="7" max="16384" width="11.42578125" style="1"/>
  </cols>
  <sheetData>
    <row r="1" spans="1:6" ht="25.5" customHeight="1" x14ac:dyDescent="0.25">
      <c r="A1" s="16" t="s">
        <v>95</v>
      </c>
      <c r="B1" s="16" t="s">
        <v>99</v>
      </c>
      <c r="C1" s="16" t="s">
        <v>100</v>
      </c>
      <c r="D1" s="16" t="s">
        <v>101</v>
      </c>
      <c r="E1" s="16" t="s">
        <v>102</v>
      </c>
      <c r="F1" s="16" t="s">
        <v>103</v>
      </c>
    </row>
    <row r="2" spans="1:6" ht="30" customHeight="1" x14ac:dyDescent="0.25">
      <c r="A2" s="512" t="s">
        <v>104</v>
      </c>
      <c r="B2" s="17">
        <v>1</v>
      </c>
      <c r="C2" s="513" t="s">
        <v>105</v>
      </c>
      <c r="D2" s="18" t="s">
        <v>106</v>
      </c>
      <c r="E2" s="19">
        <v>1500000</v>
      </c>
      <c r="F2" s="19">
        <v>1600000</v>
      </c>
    </row>
    <row r="3" spans="1:6" ht="30" customHeight="1" x14ac:dyDescent="0.25">
      <c r="A3" s="512"/>
      <c r="B3" s="17">
        <v>2</v>
      </c>
      <c r="C3" s="513"/>
      <c r="D3" s="18" t="s">
        <v>107</v>
      </c>
      <c r="E3" s="19">
        <v>1610000</v>
      </c>
      <c r="F3" s="19">
        <v>1750000</v>
      </c>
    </row>
    <row r="4" spans="1:6" ht="30" customHeight="1" x14ac:dyDescent="0.25">
      <c r="A4" s="512"/>
      <c r="B4" s="17">
        <v>3</v>
      </c>
      <c r="C4" s="513"/>
      <c r="D4" s="18" t="s">
        <v>108</v>
      </c>
      <c r="E4" s="19">
        <v>1760000</v>
      </c>
      <c r="F4" s="19">
        <v>2000000</v>
      </c>
    </row>
    <row r="5" spans="1:6" x14ac:dyDescent="0.25">
      <c r="A5" s="512"/>
      <c r="B5" s="514" t="s">
        <v>109</v>
      </c>
      <c r="C5" s="513" t="s">
        <v>110</v>
      </c>
      <c r="D5" s="32" t="s">
        <v>111</v>
      </c>
      <c r="E5" s="31"/>
      <c r="F5" s="31"/>
    </row>
    <row r="6" spans="1:6" x14ac:dyDescent="0.25">
      <c r="A6" s="512"/>
      <c r="B6" s="514"/>
      <c r="C6" s="513"/>
      <c r="D6" s="32" t="s">
        <v>112</v>
      </c>
      <c r="E6" s="31"/>
      <c r="F6" s="31"/>
    </row>
    <row r="7" spans="1:6" x14ac:dyDescent="0.25">
      <c r="A7" s="512"/>
      <c r="B7" s="514"/>
      <c r="C7" s="513"/>
      <c r="D7" s="32" t="s">
        <v>113</v>
      </c>
      <c r="E7" s="31"/>
      <c r="F7" s="31"/>
    </row>
    <row r="8" spans="1:6" ht="45" x14ac:dyDescent="0.25">
      <c r="A8" s="515" t="s">
        <v>114</v>
      </c>
      <c r="B8" s="20">
        <v>1</v>
      </c>
      <c r="C8" s="516" t="s">
        <v>115</v>
      </c>
      <c r="D8" s="21" t="s">
        <v>116</v>
      </c>
      <c r="E8" s="22">
        <v>2050000</v>
      </c>
      <c r="F8" s="22">
        <v>2200000</v>
      </c>
    </row>
    <row r="9" spans="1:6" ht="45" x14ac:dyDescent="0.25">
      <c r="A9" s="515"/>
      <c r="B9" s="20">
        <v>2</v>
      </c>
      <c r="C9" s="516"/>
      <c r="D9" s="23" t="s">
        <v>117</v>
      </c>
      <c r="E9" s="22">
        <v>2250000</v>
      </c>
      <c r="F9" s="22">
        <v>2500000</v>
      </c>
    </row>
    <row r="10" spans="1:6" ht="60" x14ac:dyDescent="0.25">
      <c r="A10" s="515"/>
      <c r="B10" s="20">
        <v>3</v>
      </c>
      <c r="C10" s="516"/>
      <c r="D10" s="23" t="s">
        <v>118</v>
      </c>
      <c r="E10" s="22">
        <v>2550000</v>
      </c>
      <c r="F10" s="22">
        <v>2750000</v>
      </c>
    </row>
    <row r="11" spans="1:6" ht="39" customHeight="1" x14ac:dyDescent="0.25">
      <c r="A11" s="515"/>
      <c r="B11" s="517" t="s">
        <v>109</v>
      </c>
      <c r="C11" s="516" t="s">
        <v>119</v>
      </c>
      <c r="D11" s="524" t="s">
        <v>120</v>
      </c>
      <c r="E11" s="524"/>
      <c r="F11" s="524"/>
    </row>
    <row r="12" spans="1:6" ht="39" customHeight="1" x14ac:dyDescent="0.25">
      <c r="A12" s="515"/>
      <c r="B12" s="517"/>
      <c r="C12" s="516"/>
      <c r="D12" s="524" t="s">
        <v>121</v>
      </c>
      <c r="E12" s="524"/>
      <c r="F12" s="524"/>
    </row>
    <row r="13" spans="1:6" ht="30.75" customHeight="1" x14ac:dyDescent="0.25">
      <c r="A13" s="509" t="s">
        <v>122</v>
      </c>
      <c r="B13" s="11">
        <v>1</v>
      </c>
      <c r="C13" s="518" t="s">
        <v>123</v>
      </c>
      <c r="D13" s="25" t="s">
        <v>124</v>
      </c>
      <c r="E13" s="26">
        <v>2760000</v>
      </c>
      <c r="F13" s="26">
        <v>3000000</v>
      </c>
    </row>
    <row r="14" spans="1:6" ht="21" customHeight="1" x14ac:dyDescent="0.25">
      <c r="A14" s="509"/>
      <c r="B14" s="11">
        <v>2</v>
      </c>
      <c r="C14" s="519"/>
      <c r="D14" s="25" t="s">
        <v>125</v>
      </c>
      <c r="E14" s="26">
        <v>3050000</v>
      </c>
      <c r="F14" s="26">
        <v>3400000</v>
      </c>
    </row>
    <row r="15" spans="1:6" ht="31.5" customHeight="1" x14ac:dyDescent="0.25">
      <c r="A15" s="509"/>
      <c r="B15" s="11">
        <v>3</v>
      </c>
      <c r="C15" s="519"/>
      <c r="D15" s="25" t="s">
        <v>126</v>
      </c>
      <c r="E15" s="26">
        <v>3450000</v>
      </c>
      <c r="F15" s="26">
        <v>3750000</v>
      </c>
    </row>
    <row r="16" spans="1:6" ht="31.5" customHeight="1" x14ac:dyDescent="0.25">
      <c r="A16" s="509"/>
      <c r="B16" s="11">
        <v>4</v>
      </c>
      <c r="C16" s="520"/>
      <c r="D16" s="25" t="s">
        <v>127</v>
      </c>
      <c r="E16" s="26">
        <v>3750000</v>
      </c>
      <c r="F16" s="26">
        <v>4200000</v>
      </c>
    </row>
    <row r="17" spans="1:6" ht="69" customHeight="1" x14ac:dyDescent="0.25">
      <c r="A17" s="509"/>
      <c r="B17" s="11" t="s">
        <v>109</v>
      </c>
      <c r="C17" s="24" t="s">
        <v>123</v>
      </c>
      <c r="D17" s="511" t="s">
        <v>128</v>
      </c>
      <c r="E17" s="511"/>
      <c r="F17" s="511"/>
    </row>
    <row r="18" spans="1:6" ht="29.25" customHeight="1" x14ac:dyDescent="0.25">
      <c r="A18" s="510" t="s">
        <v>129</v>
      </c>
      <c r="B18" s="27">
        <v>1</v>
      </c>
      <c r="C18" s="521" t="s">
        <v>130</v>
      </c>
      <c r="D18" s="29" t="s">
        <v>131</v>
      </c>
      <c r="E18" s="30">
        <v>4250000</v>
      </c>
      <c r="F18" s="30">
        <v>4550000</v>
      </c>
    </row>
    <row r="19" spans="1:6" ht="29.25" customHeight="1" x14ac:dyDescent="0.25">
      <c r="A19" s="510"/>
      <c r="B19" s="27">
        <v>2</v>
      </c>
      <c r="C19" s="522"/>
      <c r="D19" s="29" t="s">
        <v>126</v>
      </c>
      <c r="E19" s="30">
        <v>4600000</v>
      </c>
      <c r="F19" s="30">
        <v>5000000</v>
      </c>
    </row>
    <row r="20" spans="1:6" ht="29.25" customHeight="1" x14ac:dyDescent="0.25">
      <c r="A20" s="510"/>
      <c r="B20" s="27">
        <v>3</v>
      </c>
      <c r="C20" s="522"/>
      <c r="D20" s="29" t="s">
        <v>132</v>
      </c>
      <c r="E20" s="30">
        <v>5050000</v>
      </c>
      <c r="F20" s="30">
        <v>5500000</v>
      </c>
    </row>
    <row r="21" spans="1:6" ht="29.25" customHeight="1" x14ac:dyDescent="0.25">
      <c r="A21" s="510"/>
      <c r="B21" s="27">
        <v>4</v>
      </c>
      <c r="C21" s="523"/>
      <c r="D21" s="29" t="s">
        <v>133</v>
      </c>
      <c r="E21" s="30">
        <v>5550000</v>
      </c>
      <c r="F21" s="30">
        <v>6000000</v>
      </c>
    </row>
    <row r="22" spans="1:6" ht="159" customHeight="1" x14ac:dyDescent="0.25">
      <c r="A22" s="510"/>
      <c r="B22" s="27" t="s">
        <v>109</v>
      </c>
      <c r="C22" s="28" t="s">
        <v>134</v>
      </c>
      <c r="D22" s="525" t="s">
        <v>135</v>
      </c>
      <c r="E22" s="525"/>
      <c r="F22" s="525"/>
    </row>
  </sheetData>
  <mergeCells count="16">
    <mergeCell ref="A13:A17"/>
    <mergeCell ref="A18:A22"/>
    <mergeCell ref="D17:F17"/>
    <mergeCell ref="A2:A7"/>
    <mergeCell ref="C2:C4"/>
    <mergeCell ref="B5:B7"/>
    <mergeCell ref="C5:C7"/>
    <mergeCell ref="A8:A12"/>
    <mergeCell ref="C8:C10"/>
    <mergeCell ref="B11:B12"/>
    <mergeCell ref="C11:C12"/>
    <mergeCell ref="C13:C16"/>
    <mergeCell ref="C18:C21"/>
    <mergeCell ref="D11:F11"/>
    <mergeCell ref="D12:F12"/>
    <mergeCell ref="D22:F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015a870-4d0a-42d6-9b44-efe6edc3e3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3DE697F7CA53498A86B7109B827D79" ma:contentTypeVersion="14" ma:contentTypeDescription="Crear nuevo documento." ma:contentTypeScope="" ma:versionID="f37cc75190f6656a6b1d1b9708f9ad34">
  <xsd:schema xmlns:xsd="http://www.w3.org/2001/XMLSchema" xmlns:xs="http://www.w3.org/2001/XMLSchema" xmlns:p="http://schemas.microsoft.com/office/2006/metadata/properties" xmlns:ns3="d015a870-4d0a-42d6-9b44-efe6edc3e318" xmlns:ns4="cd8d893f-03bf-4a9a-a57a-920417d805c5" targetNamespace="http://schemas.microsoft.com/office/2006/metadata/properties" ma:root="true" ma:fieldsID="16e325b30d92ba6c4ec48ec256fc696f" ns3:_="" ns4:_="">
    <xsd:import namespace="d015a870-4d0a-42d6-9b44-efe6edc3e318"/>
    <xsd:import namespace="cd8d893f-03bf-4a9a-a57a-920417d805c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5a870-4d0a-42d6-9b44-efe6edc3e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d893f-03bf-4a9a-a57a-920417d805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2.xml><?xml version="1.0" encoding="utf-8"?>
<ds:datastoreItem xmlns:ds="http://schemas.openxmlformats.org/officeDocument/2006/customXml" ds:itemID="{AEDA111E-C877-4F5D-9D6C-A77459B1BEC2}">
  <ds:schemaRef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d015a870-4d0a-42d6-9b44-efe6edc3e318"/>
    <ds:schemaRef ds:uri="http://schemas.microsoft.com/office/infopath/2007/PartnerControls"/>
    <ds:schemaRef ds:uri="http://schemas.openxmlformats.org/package/2006/metadata/core-properties"/>
    <ds:schemaRef ds:uri="cd8d893f-03bf-4a9a-a57a-920417d805c5"/>
    <ds:schemaRef ds:uri="http://purl.org/dc/terms/"/>
  </ds:schemaRefs>
</ds:datastoreItem>
</file>

<file path=customXml/itemProps3.xml><?xml version="1.0" encoding="utf-8"?>
<ds:datastoreItem xmlns:ds="http://schemas.openxmlformats.org/officeDocument/2006/customXml" ds:itemID="{937559A1-8853-4F3D-98E3-0016269A2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5a870-4d0a-42d6-9b44-efe6edc3e318"/>
    <ds:schemaRef ds:uri="cd8d893f-03bf-4a9a-a57a-920417d80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Dinámica</vt:lpstr>
      <vt:lpstr>ESCALAS Salarios</vt:lpstr>
      <vt:lpstr>Balance</vt:lpstr>
      <vt:lpstr>PAA Contratistas 2024</vt:lpstr>
      <vt:lpstr>PAA Contratistas 2024 +</vt:lpstr>
      <vt:lpstr>control </vt:lpstr>
      <vt:lpstr>Centro Lenguas</vt:lpstr>
      <vt:lpstr>4412-Gestion</vt:lpstr>
      <vt:lpstr>Equivalencias</vt:lpstr>
      <vt:lpstr>'PAA Contratistas 2024'!Área_de_impresión</vt:lpstr>
      <vt:lpstr>'PAA Contratistas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PAULA CITLALLI PINEROS FUENTES</cp:lastModifiedBy>
  <cp:revision/>
  <cp:lastPrinted>2024-09-19T15:32:15Z</cp:lastPrinted>
  <dcterms:created xsi:type="dcterms:W3CDTF">2021-04-23T14:45:17Z</dcterms:created>
  <dcterms:modified xsi:type="dcterms:W3CDTF">2024-10-18T13:42:21Z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0x010100203DE697F7CA53498A86B7109B827D79</vt:lpwstr>
  </property>
</Properties>
</file>